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65" windowHeight="8835" activeTab="7"/>
  </bookViews>
  <sheets>
    <sheet name="Losange d'or" sheetId="1" r:id="rId1"/>
    <sheet name="Losange G" sheetId="2" r:id="rId2"/>
    <sheet name="Losange R" sheetId="3" r:id="rId3"/>
    <sheet name="Ordre3" sheetId="4" r:id="rId4"/>
    <sheet name="Ordre4" sheetId="5" r:id="rId5"/>
    <sheet name="Ordre5" sheetId="6" r:id="rId6"/>
    <sheet name="Ordre6" sheetId="7" r:id="rId7"/>
    <sheet name="Ordre8" sheetId="8" r:id="rId8"/>
  </sheets>
  <definedNames>
    <definedName name="Long1">'Ordre3'!$D$6</definedName>
    <definedName name="LONG4">'Ordre4'!$D$6</definedName>
    <definedName name="LONG5">'Ordre5'!$D$6</definedName>
    <definedName name="LONG6">'Ordre6'!$D$6</definedName>
    <definedName name="LONG8">'Ordre8'!$D$6</definedName>
    <definedName name="OR" localSheetId="1">'Losange G'!$F$1</definedName>
    <definedName name="OR" localSheetId="2">'Losange R'!$F$1</definedName>
    <definedName name="OR">'Losange d''or'!$F$1</definedName>
    <definedName name="q4h1">'Ordre4'!$N$5</definedName>
    <definedName name="q4l1">'Ordre4'!$N$7</definedName>
    <definedName name="q4l2">'Ordre4'!$N$3</definedName>
    <definedName name="q5h1">'Ordre5'!$N$5</definedName>
    <definedName name="q5l1">'Ordre5'!$N$3</definedName>
    <definedName name="q5l2">'Ordre5'!$N$7</definedName>
    <definedName name="q6h1">'Ordre6'!$N$5</definedName>
    <definedName name="q6l1">'Ordre6'!$N$3</definedName>
    <definedName name="q6l2">'Ordre6'!$N$7</definedName>
    <definedName name="q8h1">'Ordre8'!$Q$6</definedName>
    <definedName name="q8l1">'Ordre8'!$Q$2</definedName>
    <definedName name="q8l2">'Ordre8'!$Q$3</definedName>
    <definedName name="q8l3">'Ordre8'!$Q$4</definedName>
    <definedName name="q8l4">'Ordre8'!$Q$5</definedName>
    <definedName name="RAP1">'Ordre3'!$D$4</definedName>
    <definedName name="RAP4">'Ordre4'!$D$4</definedName>
    <definedName name="RAP5">'Ordre5'!$D$4</definedName>
    <definedName name="RAP6">'Ordre6'!$D$4</definedName>
    <definedName name="RAP8">'Ordre8'!$D$4</definedName>
    <definedName name="sommets3">'Ordre3'!$O$11:$Q$17</definedName>
    <definedName name="sommets4">'Ordre4'!$O$11:$Q$19</definedName>
    <definedName name="sommets5">'Ordre5'!$O$16:$Q$31</definedName>
    <definedName name="sommets6">'Ordre6'!$O$16:$Q$34</definedName>
    <definedName name="sommets8">'Ordre8'!$O$19:$Q$51</definedName>
  </definedNames>
  <calcPr fullCalcOnLoad="1"/>
</workbook>
</file>

<file path=xl/sharedStrings.xml><?xml version="1.0" encoding="utf-8"?>
<sst xmlns="http://schemas.openxmlformats.org/spreadsheetml/2006/main" count="414" uniqueCount="77">
  <si>
    <t>LOSANGE D'OR</t>
  </si>
  <si>
    <t>RAPPORT DES DIAGONALES:</t>
  </si>
  <si>
    <t>GRANDE</t>
  </si>
  <si>
    <t>PETITE</t>
  </si>
  <si>
    <t>RAPPORT</t>
  </si>
  <si>
    <t>ARETE</t>
  </si>
  <si>
    <t>LOSANGE G</t>
  </si>
  <si>
    <t>LOSANGE R</t>
  </si>
  <si>
    <t>ORDRE</t>
  </si>
  <si>
    <t>Rapport du premier losange:</t>
  </si>
  <si>
    <t>Longueur de la première diagonale:</t>
  </si>
  <si>
    <t>Premier niveau</t>
  </si>
  <si>
    <t>Losange 1</t>
  </si>
  <si>
    <t>Sommet</t>
  </si>
  <si>
    <t>X</t>
  </si>
  <si>
    <t>Y</t>
  </si>
  <si>
    <t>Z</t>
  </si>
  <si>
    <t>Limite max:</t>
  </si>
  <si>
    <t>Longueur diagonale traverse</t>
  </si>
  <si>
    <t>Rayon du cercle 1er niveau</t>
  </si>
  <si>
    <t>Longueur arrête</t>
  </si>
  <si>
    <t>Hauteur cercle</t>
  </si>
  <si>
    <t>Inclinaison 1er niveau</t>
  </si>
  <si>
    <t>Losange 2</t>
  </si>
  <si>
    <t>Losange 3</t>
  </si>
  <si>
    <t>cos</t>
  </si>
  <si>
    <t>sin</t>
  </si>
  <si>
    <t>Longueur projetée de la diagonale</t>
  </si>
  <si>
    <t>Long. Proj. diagonale 2ème niveau</t>
  </si>
  <si>
    <t>Traverse 2ème niveau</t>
  </si>
  <si>
    <t>Longueur diagonale 2ème niveau</t>
  </si>
  <si>
    <t>Inclinaison 2ème niveau</t>
  </si>
  <si>
    <t>2 -3</t>
  </si>
  <si>
    <t>1 - 2</t>
  </si>
  <si>
    <t>1 - 7</t>
  </si>
  <si>
    <t>2 - 12</t>
  </si>
  <si>
    <t>Losange 4</t>
  </si>
  <si>
    <t>Losange 5</t>
  </si>
  <si>
    <t>Losange 6</t>
  </si>
  <si>
    <t>Losange 7</t>
  </si>
  <si>
    <t>Losange 8</t>
  </si>
  <si>
    <t>Losange 9</t>
  </si>
  <si>
    <t>Losange 10</t>
  </si>
  <si>
    <t>Losange 11</t>
  </si>
  <si>
    <t>Losange 12</t>
  </si>
  <si>
    <t>3 - 13</t>
  </si>
  <si>
    <t>1 - 3</t>
  </si>
  <si>
    <t>Deg</t>
  </si>
  <si>
    <t>Rad</t>
  </si>
  <si>
    <t>17 - 10</t>
  </si>
  <si>
    <t>1 - 10</t>
  </si>
  <si>
    <t>3 - 14</t>
  </si>
  <si>
    <t>2 - 3</t>
  </si>
  <si>
    <t>10 - 26</t>
  </si>
  <si>
    <t>Long. Proj. diagonale 3ème niveau</t>
  </si>
  <si>
    <t>Traverse 3ème niveau</t>
  </si>
  <si>
    <t>Inclinaison 3ème niveau</t>
  </si>
  <si>
    <t>2 - 18</t>
  </si>
  <si>
    <t>33 - 26</t>
  </si>
  <si>
    <t>Longueur diagonale 3ème niveau</t>
  </si>
  <si>
    <t>L1</t>
  </si>
  <si>
    <t>L2</t>
  </si>
  <si>
    <t>L3</t>
  </si>
  <si>
    <t>L4</t>
  </si>
  <si>
    <t>H1</t>
  </si>
  <si>
    <t>Losange 13</t>
  </si>
  <si>
    <t>Losange 14</t>
  </si>
  <si>
    <t>Losange 15</t>
  </si>
  <si>
    <t>Losange 16</t>
  </si>
  <si>
    <t>Losange 17</t>
  </si>
  <si>
    <t>Losange 18</t>
  </si>
  <si>
    <t>Losange 19</t>
  </si>
  <si>
    <t>Losange 20</t>
  </si>
  <si>
    <t>Losange 21</t>
  </si>
  <si>
    <t>Losange 22</t>
  </si>
  <si>
    <t>Losange 23</t>
  </si>
  <si>
    <t>Losange 24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</si>
</sst>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0&quot;cm&quot;"/>
  </numFmts>
  <fonts count="6">
    <font>
      <sz val="11"/>
      <name val="Arial"/>
      <family val="0"/>
    </font>
    <font>
      <b/>
      <sz val="14"/>
      <name val="Arial"/>
      <family val="2"/>
    </font>
    <font>
      <b/>
      <sz val="22"/>
      <name val="Arial"/>
      <family val="2"/>
    </font>
    <font>
      <b/>
      <sz val="48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0" borderId="9" xfId="0" applyBorder="1" applyAlignment="1">
      <alignment/>
    </xf>
    <xf numFmtId="172" fontId="0" fillId="5" borderId="9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6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14</xdr:row>
      <xdr:rowOff>28575</xdr:rowOff>
    </xdr:from>
    <xdr:to>
      <xdr:col>11</xdr:col>
      <xdr:colOff>552450</xdr:colOff>
      <xdr:row>26</xdr:row>
      <xdr:rowOff>142875</xdr:rowOff>
    </xdr:to>
    <xdr:grpSp>
      <xdr:nvGrpSpPr>
        <xdr:cNvPr id="1" name="Group 7"/>
        <xdr:cNvGrpSpPr>
          <a:grpSpLocks noChangeAspect="1"/>
        </xdr:cNvGrpSpPr>
      </xdr:nvGrpSpPr>
      <xdr:grpSpPr>
        <a:xfrm>
          <a:off x="4657725" y="2914650"/>
          <a:ext cx="3724275" cy="2286000"/>
          <a:chOff x="624" y="269"/>
          <a:chExt cx="391" cy="24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624" y="269"/>
            <a:ext cx="391" cy="240"/>
          </a:xfrm>
          <a:prstGeom prst="diamond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 noChangeAspect="1"/>
          </xdr:cNvSpPr>
        </xdr:nvSpPr>
        <xdr:spPr>
          <a:xfrm>
            <a:off x="624" y="38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spect="1" noChangeArrowheads="1"/>
          </xdr:cNvSpPr>
        </xdr:nvSpPr>
        <xdr:spPr>
          <a:xfrm>
            <a:off x="716" y="368"/>
            <a:ext cx="4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1.000</a:t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 flipH="1">
            <a:off x="819" y="270"/>
            <a:ext cx="0" cy="2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spect="1" noChangeArrowheads="1"/>
          </xdr:cNvSpPr>
        </xdr:nvSpPr>
        <xdr:spPr>
          <a:xfrm>
            <a:off x="823" y="346"/>
            <a:ext cx="4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0.618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9525</xdr:rowOff>
    </xdr:from>
    <xdr:to>
      <xdr:col>10</xdr:col>
      <xdr:colOff>161925</xdr:colOff>
      <xdr:row>24</xdr:row>
      <xdr:rowOff>28575</xdr:rowOff>
    </xdr:to>
    <xdr:sp>
      <xdr:nvSpPr>
        <xdr:cNvPr id="1" name="AutoShape 2"/>
        <xdr:cNvSpPr>
          <a:spLocks noChangeAspect="1"/>
        </xdr:cNvSpPr>
      </xdr:nvSpPr>
      <xdr:spPr>
        <a:xfrm>
          <a:off x="4324350" y="2895600"/>
          <a:ext cx="2981325" cy="1828800"/>
        </a:xfrm>
        <a:prstGeom prst="diamond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19</xdr:row>
      <xdr:rowOff>19050</xdr:rowOff>
    </xdr:from>
    <xdr:to>
      <xdr:col>10</xdr:col>
      <xdr:colOff>161925</xdr:colOff>
      <xdr:row>19</xdr:row>
      <xdr:rowOff>19050</xdr:rowOff>
    </xdr:to>
    <xdr:sp>
      <xdr:nvSpPr>
        <xdr:cNvPr id="2" name="Line 3"/>
        <xdr:cNvSpPr>
          <a:spLocks noChangeAspect="1"/>
        </xdr:cNvSpPr>
      </xdr:nvSpPr>
      <xdr:spPr>
        <a:xfrm>
          <a:off x="4333875" y="38100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18</xdr:row>
      <xdr:rowOff>19050</xdr:rowOff>
    </xdr:from>
    <xdr:to>
      <xdr:col>9</xdr:col>
      <xdr:colOff>295275</xdr:colOff>
      <xdr:row>19</xdr:row>
      <xdr:rowOff>28575</xdr:rowOff>
    </xdr:to>
    <xdr:sp>
      <xdr:nvSpPr>
        <xdr:cNvPr id="3" name="TextBox 4"/>
        <xdr:cNvSpPr txBox="1">
          <a:spLocks noChangeAspect="1" noChangeArrowheads="1"/>
        </xdr:cNvSpPr>
      </xdr:nvSpPr>
      <xdr:spPr>
        <a:xfrm>
          <a:off x="6324600" y="362902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1.000</a:t>
          </a:r>
        </a:p>
      </xdr:txBody>
    </xdr:sp>
    <xdr:clientData/>
  </xdr:twoCellAnchor>
  <xdr:twoCellAnchor>
    <xdr:from>
      <xdr:col>8</xdr:col>
      <xdr:colOff>38100</xdr:colOff>
      <xdr:row>14</xdr:row>
      <xdr:rowOff>9525</xdr:rowOff>
    </xdr:from>
    <xdr:to>
      <xdr:col>8</xdr:col>
      <xdr:colOff>38100</xdr:colOff>
      <xdr:row>24</xdr:row>
      <xdr:rowOff>28575</xdr:rowOff>
    </xdr:to>
    <xdr:sp>
      <xdr:nvSpPr>
        <xdr:cNvPr id="4" name="Line 5"/>
        <xdr:cNvSpPr>
          <a:spLocks noChangeAspect="1"/>
        </xdr:cNvSpPr>
      </xdr:nvSpPr>
      <xdr:spPr>
        <a:xfrm flipH="1">
          <a:off x="5810250" y="289560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95250</xdr:rowOff>
    </xdr:from>
    <xdr:to>
      <xdr:col>8</xdr:col>
      <xdr:colOff>476250</xdr:colOff>
      <xdr:row>17</xdr:row>
      <xdr:rowOff>95250</xdr:rowOff>
    </xdr:to>
    <xdr:sp>
      <xdr:nvSpPr>
        <xdr:cNvPr id="5" name="TextBox 6"/>
        <xdr:cNvSpPr txBox="1">
          <a:spLocks noChangeAspect="1" noChangeArrowheads="1"/>
        </xdr:cNvSpPr>
      </xdr:nvSpPr>
      <xdr:spPr>
        <a:xfrm>
          <a:off x="5829300" y="33432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0.500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9525</xdr:rowOff>
    </xdr:from>
    <xdr:to>
      <xdr:col>11</xdr:col>
      <xdr:colOff>152400</xdr:colOff>
      <xdr:row>30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324350" y="2895600"/>
          <a:ext cx="3657600" cy="2981325"/>
        </a:xfrm>
        <a:prstGeom prst="diamond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22</xdr:row>
      <xdr:rowOff>57150</xdr:rowOff>
    </xdr:from>
    <xdr:to>
      <xdr:col>11</xdr:col>
      <xdr:colOff>152400</xdr:colOff>
      <xdr:row>22</xdr:row>
      <xdr:rowOff>57150</xdr:rowOff>
    </xdr:to>
    <xdr:sp>
      <xdr:nvSpPr>
        <xdr:cNvPr id="2" name="Line 2"/>
        <xdr:cNvSpPr>
          <a:spLocks noChangeAspect="1"/>
        </xdr:cNvSpPr>
      </xdr:nvSpPr>
      <xdr:spPr>
        <a:xfrm>
          <a:off x="4333875" y="439102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21</xdr:row>
      <xdr:rowOff>76200</xdr:rowOff>
    </xdr:from>
    <xdr:to>
      <xdr:col>9</xdr:col>
      <xdr:colOff>647700</xdr:colOff>
      <xdr:row>22</xdr:row>
      <xdr:rowOff>85725</xdr:rowOff>
    </xdr:to>
    <xdr:sp>
      <xdr:nvSpPr>
        <xdr:cNvPr id="3" name="TextBox 3"/>
        <xdr:cNvSpPr txBox="1">
          <a:spLocks noChangeAspect="1" noChangeArrowheads="1"/>
        </xdr:cNvSpPr>
      </xdr:nvSpPr>
      <xdr:spPr>
        <a:xfrm>
          <a:off x="6677025" y="42291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1.000</a:t>
          </a:r>
        </a:p>
      </xdr:txBody>
    </xdr:sp>
    <xdr:clientData/>
  </xdr:twoCellAnchor>
  <xdr:twoCellAnchor>
    <xdr:from>
      <xdr:col>8</xdr:col>
      <xdr:colOff>381000</xdr:colOff>
      <xdr:row>14</xdr:row>
      <xdr:rowOff>19050</xdr:rowOff>
    </xdr:from>
    <xdr:to>
      <xdr:col>8</xdr:col>
      <xdr:colOff>381000</xdr:colOff>
      <xdr:row>30</xdr:row>
      <xdr:rowOff>95250</xdr:rowOff>
    </xdr:to>
    <xdr:sp>
      <xdr:nvSpPr>
        <xdr:cNvPr id="4" name="Line 4"/>
        <xdr:cNvSpPr>
          <a:spLocks noChangeAspect="1"/>
        </xdr:cNvSpPr>
      </xdr:nvSpPr>
      <xdr:spPr>
        <a:xfrm flipH="1">
          <a:off x="6153150" y="290512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18</xdr:row>
      <xdr:rowOff>95250</xdr:rowOff>
    </xdr:from>
    <xdr:to>
      <xdr:col>9</xdr:col>
      <xdr:colOff>142875</xdr:colOff>
      <xdr:row>19</xdr:row>
      <xdr:rowOff>95250</xdr:rowOff>
    </xdr:to>
    <xdr:sp>
      <xdr:nvSpPr>
        <xdr:cNvPr id="5" name="TextBox 5"/>
        <xdr:cNvSpPr txBox="1">
          <a:spLocks noChangeAspect="1" noChangeArrowheads="1"/>
        </xdr:cNvSpPr>
      </xdr:nvSpPr>
      <xdr:spPr>
        <a:xfrm>
          <a:off x="6181725" y="370522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0.816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8</xdr:row>
      <xdr:rowOff>171450</xdr:rowOff>
    </xdr:from>
    <xdr:to>
      <xdr:col>9</xdr:col>
      <xdr:colOff>409575</xdr:colOff>
      <xdr:row>12</xdr:row>
      <xdr:rowOff>28575</xdr:rowOff>
    </xdr:to>
    <xdr:sp>
      <xdr:nvSpPr>
        <xdr:cNvPr id="1" name="los3a1"/>
        <xdr:cNvSpPr>
          <a:spLocks/>
        </xdr:cNvSpPr>
      </xdr:nvSpPr>
      <xdr:spPr>
        <a:xfrm>
          <a:off x="6238875" y="1971675"/>
          <a:ext cx="1000125" cy="581025"/>
        </a:xfrm>
        <a:custGeom>
          <a:pathLst>
            <a:path h="61" w="105">
              <a:moveTo>
                <a:pt x="52" y="60"/>
              </a:moveTo>
              <a:lnTo>
                <a:pt x="0" y="30"/>
              </a:lnTo>
              <a:lnTo>
                <a:pt x="52" y="0"/>
              </a:lnTo>
              <a:lnTo>
                <a:pt x="104" y="30"/>
              </a:lnTo>
              <a:lnTo>
                <a:pt x="52" y="6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10</xdr:row>
      <xdr:rowOff>95250</xdr:rowOff>
    </xdr:from>
    <xdr:to>
      <xdr:col>9</xdr:col>
      <xdr:colOff>409575</xdr:colOff>
      <xdr:row>15</xdr:row>
      <xdr:rowOff>57150</xdr:rowOff>
    </xdr:to>
    <xdr:sp>
      <xdr:nvSpPr>
        <xdr:cNvPr id="2" name="los3a2"/>
        <xdr:cNvSpPr>
          <a:spLocks/>
        </xdr:cNvSpPr>
      </xdr:nvSpPr>
      <xdr:spPr>
        <a:xfrm>
          <a:off x="6734175" y="2257425"/>
          <a:ext cx="504825" cy="866775"/>
        </a:xfrm>
        <a:custGeom>
          <a:pathLst>
            <a:path h="91" w="53">
              <a:moveTo>
                <a:pt x="0" y="30"/>
              </a:moveTo>
              <a:lnTo>
                <a:pt x="52" y="0"/>
              </a:lnTo>
              <a:lnTo>
                <a:pt x="52" y="60"/>
              </a:lnTo>
              <a:lnTo>
                <a:pt x="0" y="90"/>
              </a:lnTo>
              <a:lnTo>
                <a:pt x="0" y="3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95250</xdr:rowOff>
    </xdr:from>
    <xdr:to>
      <xdr:col>8</xdr:col>
      <xdr:colOff>600075</xdr:colOff>
      <xdr:row>15</xdr:row>
      <xdr:rowOff>57150</xdr:rowOff>
    </xdr:to>
    <xdr:sp>
      <xdr:nvSpPr>
        <xdr:cNvPr id="3" name="los3a3"/>
        <xdr:cNvSpPr>
          <a:spLocks/>
        </xdr:cNvSpPr>
      </xdr:nvSpPr>
      <xdr:spPr>
        <a:xfrm>
          <a:off x="6238875" y="2257425"/>
          <a:ext cx="504825" cy="866775"/>
        </a:xfrm>
        <a:custGeom>
          <a:pathLst>
            <a:path h="91" w="53">
              <a:moveTo>
                <a:pt x="52" y="30"/>
              </a:moveTo>
              <a:lnTo>
                <a:pt x="52" y="90"/>
              </a:lnTo>
              <a:lnTo>
                <a:pt x="0" y="60"/>
              </a:lnTo>
              <a:lnTo>
                <a:pt x="0" y="0"/>
              </a:lnTo>
              <a:lnTo>
                <a:pt x="52" y="3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600075</xdr:colOff>
      <xdr:row>12</xdr:row>
      <xdr:rowOff>28575</xdr:rowOff>
    </xdr:from>
    <xdr:ext cx="161925" cy="228600"/>
    <xdr:sp>
      <xdr:nvSpPr>
        <xdr:cNvPr id="4" name="TextBox 333"/>
        <xdr:cNvSpPr txBox="1">
          <a:spLocks noChangeArrowheads="1"/>
        </xdr:cNvSpPr>
      </xdr:nvSpPr>
      <xdr:spPr>
        <a:xfrm>
          <a:off x="6743700" y="255270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8</xdr:col>
      <xdr:colOff>600075</xdr:colOff>
      <xdr:row>9</xdr:row>
      <xdr:rowOff>0</xdr:rowOff>
    </xdr:from>
    <xdr:ext cx="161925" cy="228600"/>
    <xdr:sp>
      <xdr:nvSpPr>
        <xdr:cNvPr id="5" name="TextBox 334"/>
        <xdr:cNvSpPr txBox="1">
          <a:spLocks noChangeArrowheads="1"/>
        </xdr:cNvSpPr>
      </xdr:nvSpPr>
      <xdr:spPr>
        <a:xfrm>
          <a:off x="6743700" y="198120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9</xdr:col>
      <xdr:colOff>409575</xdr:colOff>
      <xdr:row>10</xdr:row>
      <xdr:rowOff>104775</xdr:rowOff>
    </xdr:from>
    <xdr:ext cx="161925" cy="228600"/>
    <xdr:sp>
      <xdr:nvSpPr>
        <xdr:cNvPr id="6" name="TextBox 335"/>
        <xdr:cNvSpPr txBox="1">
          <a:spLocks noChangeArrowheads="1"/>
        </xdr:cNvSpPr>
      </xdr:nvSpPr>
      <xdr:spPr>
        <a:xfrm>
          <a:off x="7239000" y="22669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409575</xdr:colOff>
      <xdr:row>13</xdr:row>
      <xdr:rowOff>123825</xdr:rowOff>
    </xdr:from>
    <xdr:ext cx="161925" cy="238125"/>
    <xdr:sp>
      <xdr:nvSpPr>
        <xdr:cNvPr id="7" name="TextBox 336"/>
        <xdr:cNvSpPr txBox="1">
          <a:spLocks noChangeArrowheads="1"/>
        </xdr:cNvSpPr>
      </xdr:nvSpPr>
      <xdr:spPr>
        <a:xfrm>
          <a:off x="7239000" y="2828925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8</xdr:col>
      <xdr:colOff>600075</xdr:colOff>
      <xdr:row>15</xdr:row>
      <xdr:rowOff>47625</xdr:rowOff>
    </xdr:from>
    <xdr:ext cx="161925" cy="238125"/>
    <xdr:sp>
      <xdr:nvSpPr>
        <xdr:cNvPr id="8" name="TextBox 337"/>
        <xdr:cNvSpPr txBox="1">
          <a:spLocks noChangeArrowheads="1"/>
        </xdr:cNvSpPr>
      </xdr:nvSpPr>
      <xdr:spPr>
        <a:xfrm>
          <a:off x="6743700" y="3114675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8</xdr:col>
      <xdr:colOff>104775</xdr:colOff>
      <xdr:row>13</xdr:row>
      <xdr:rowOff>123825</xdr:rowOff>
    </xdr:from>
    <xdr:ext cx="161925" cy="238125"/>
    <xdr:sp>
      <xdr:nvSpPr>
        <xdr:cNvPr id="9" name="TextBox 338"/>
        <xdr:cNvSpPr txBox="1">
          <a:spLocks noChangeArrowheads="1"/>
        </xdr:cNvSpPr>
      </xdr:nvSpPr>
      <xdr:spPr>
        <a:xfrm>
          <a:off x="6248400" y="2828925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8</xdr:col>
      <xdr:colOff>104775</xdr:colOff>
      <xdr:row>10</xdr:row>
      <xdr:rowOff>104775</xdr:rowOff>
    </xdr:from>
    <xdr:ext cx="161925" cy="228600"/>
    <xdr:sp>
      <xdr:nvSpPr>
        <xdr:cNvPr id="10" name="TextBox 339"/>
        <xdr:cNvSpPr txBox="1">
          <a:spLocks noChangeArrowheads="1"/>
        </xdr:cNvSpPr>
      </xdr:nvSpPr>
      <xdr:spPr>
        <a:xfrm>
          <a:off x="6248400" y="22669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twoCellAnchor>
    <xdr:from>
      <xdr:col>8</xdr:col>
      <xdr:colOff>95250</xdr:colOff>
      <xdr:row>22</xdr:row>
      <xdr:rowOff>114300</xdr:rowOff>
    </xdr:from>
    <xdr:to>
      <xdr:col>9</xdr:col>
      <xdr:colOff>409575</xdr:colOff>
      <xdr:row>31</xdr:row>
      <xdr:rowOff>38100</xdr:rowOff>
    </xdr:to>
    <xdr:sp>
      <xdr:nvSpPr>
        <xdr:cNvPr id="11" name="los3b1"/>
        <xdr:cNvSpPr>
          <a:spLocks/>
        </xdr:cNvSpPr>
      </xdr:nvSpPr>
      <xdr:spPr>
        <a:xfrm>
          <a:off x="6238875" y="4448175"/>
          <a:ext cx="1000125" cy="1552575"/>
        </a:xfrm>
        <a:custGeom>
          <a:pathLst>
            <a:path h="163" w="105">
              <a:moveTo>
                <a:pt x="52" y="0"/>
              </a:moveTo>
              <a:lnTo>
                <a:pt x="0" y="81"/>
              </a:lnTo>
              <a:lnTo>
                <a:pt x="52" y="162"/>
              </a:lnTo>
              <a:lnTo>
                <a:pt x="104" y="81"/>
              </a:lnTo>
              <a:lnTo>
                <a:pt x="5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114300</xdr:rowOff>
    </xdr:from>
    <xdr:to>
      <xdr:col>9</xdr:col>
      <xdr:colOff>409575</xdr:colOff>
      <xdr:row>31</xdr:row>
      <xdr:rowOff>38100</xdr:rowOff>
    </xdr:to>
    <xdr:sp>
      <xdr:nvSpPr>
        <xdr:cNvPr id="12" name="los3b2"/>
        <xdr:cNvSpPr>
          <a:spLocks/>
        </xdr:cNvSpPr>
      </xdr:nvSpPr>
      <xdr:spPr>
        <a:xfrm>
          <a:off x="6734175" y="4448175"/>
          <a:ext cx="504825" cy="1552575"/>
        </a:xfrm>
        <a:custGeom>
          <a:pathLst>
            <a:path h="163" w="53">
              <a:moveTo>
                <a:pt x="0" y="0"/>
              </a:moveTo>
              <a:lnTo>
                <a:pt x="52" y="81"/>
              </a:lnTo>
              <a:lnTo>
                <a:pt x="52" y="162"/>
              </a:lnTo>
              <a:lnTo>
                <a:pt x="0" y="81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114300</xdr:rowOff>
    </xdr:from>
    <xdr:to>
      <xdr:col>8</xdr:col>
      <xdr:colOff>600075</xdr:colOff>
      <xdr:row>31</xdr:row>
      <xdr:rowOff>38100</xdr:rowOff>
    </xdr:to>
    <xdr:sp>
      <xdr:nvSpPr>
        <xdr:cNvPr id="13" name="los3b3"/>
        <xdr:cNvSpPr>
          <a:spLocks/>
        </xdr:cNvSpPr>
      </xdr:nvSpPr>
      <xdr:spPr>
        <a:xfrm>
          <a:off x="6238875" y="4448175"/>
          <a:ext cx="504825" cy="1552575"/>
        </a:xfrm>
        <a:custGeom>
          <a:pathLst>
            <a:path h="163" w="53">
              <a:moveTo>
                <a:pt x="52" y="0"/>
              </a:moveTo>
              <a:lnTo>
                <a:pt x="52" y="81"/>
              </a:lnTo>
              <a:lnTo>
                <a:pt x="0" y="162"/>
              </a:lnTo>
              <a:lnTo>
                <a:pt x="0" y="81"/>
              </a:lnTo>
              <a:lnTo>
                <a:pt x="5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12</xdr:row>
      <xdr:rowOff>9525</xdr:rowOff>
    </xdr:from>
    <xdr:to>
      <xdr:col>10</xdr:col>
      <xdr:colOff>76200</xdr:colOff>
      <xdr:row>20</xdr:row>
      <xdr:rowOff>38100</xdr:rowOff>
    </xdr:to>
    <xdr:sp>
      <xdr:nvSpPr>
        <xdr:cNvPr id="1" name="Polygon 351"/>
        <xdr:cNvSpPr>
          <a:spLocks/>
        </xdr:cNvSpPr>
      </xdr:nvSpPr>
      <xdr:spPr>
        <a:xfrm>
          <a:off x="6115050" y="2543175"/>
          <a:ext cx="1476375" cy="1476375"/>
        </a:xfrm>
        <a:custGeom>
          <a:pathLst>
            <a:path h="155" w="155">
              <a:moveTo>
                <a:pt x="65" y="0"/>
              </a:moveTo>
              <a:lnTo>
                <a:pt x="0" y="89"/>
              </a:lnTo>
              <a:lnTo>
                <a:pt x="89" y="154"/>
              </a:lnTo>
              <a:lnTo>
                <a:pt x="154" y="65"/>
              </a:lnTo>
              <a:lnTo>
                <a:pt x="6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57150</xdr:rowOff>
    </xdr:from>
    <xdr:to>
      <xdr:col>11</xdr:col>
      <xdr:colOff>9525</xdr:colOff>
      <xdr:row>15</xdr:row>
      <xdr:rowOff>95250</xdr:rowOff>
    </xdr:to>
    <xdr:sp>
      <xdr:nvSpPr>
        <xdr:cNvPr id="2" name="Polygon 352"/>
        <xdr:cNvSpPr>
          <a:spLocks/>
        </xdr:cNvSpPr>
      </xdr:nvSpPr>
      <xdr:spPr>
        <a:xfrm>
          <a:off x="6734175" y="1685925"/>
          <a:ext cx="1476375" cy="1485900"/>
        </a:xfrm>
        <a:custGeom>
          <a:pathLst>
            <a:path h="156" w="155">
              <a:moveTo>
                <a:pt x="0" y="90"/>
              </a:moveTo>
              <a:lnTo>
                <a:pt x="89" y="155"/>
              </a:lnTo>
              <a:lnTo>
                <a:pt x="154" y="65"/>
              </a:lnTo>
              <a:lnTo>
                <a:pt x="65" y="0"/>
              </a:lnTo>
              <a:lnTo>
                <a:pt x="0" y="9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</xdr:row>
      <xdr:rowOff>0</xdr:rowOff>
    </xdr:from>
    <xdr:to>
      <xdr:col>9</xdr:col>
      <xdr:colOff>533400</xdr:colOff>
      <xdr:row>12</xdr:row>
      <xdr:rowOff>19050</xdr:rowOff>
    </xdr:to>
    <xdr:sp>
      <xdr:nvSpPr>
        <xdr:cNvPr id="3" name="Polygon 353"/>
        <xdr:cNvSpPr>
          <a:spLocks/>
        </xdr:cNvSpPr>
      </xdr:nvSpPr>
      <xdr:spPr>
        <a:xfrm>
          <a:off x="5876925" y="1076325"/>
          <a:ext cx="1485900" cy="1476375"/>
        </a:xfrm>
        <a:custGeom>
          <a:pathLst>
            <a:path h="155" w="156">
              <a:moveTo>
                <a:pt x="90" y="154"/>
              </a:moveTo>
              <a:lnTo>
                <a:pt x="155" y="64"/>
              </a:lnTo>
              <a:lnTo>
                <a:pt x="65" y="0"/>
              </a:lnTo>
              <a:lnTo>
                <a:pt x="0" y="89"/>
              </a:lnTo>
              <a:lnTo>
                <a:pt x="90" y="15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8</xdr:row>
      <xdr:rowOff>114300</xdr:rowOff>
    </xdr:from>
    <xdr:to>
      <xdr:col>8</xdr:col>
      <xdr:colOff>600075</xdr:colOff>
      <xdr:row>16</xdr:row>
      <xdr:rowOff>142875</xdr:rowOff>
    </xdr:to>
    <xdr:sp>
      <xdr:nvSpPr>
        <xdr:cNvPr id="4" name="Polygon 354"/>
        <xdr:cNvSpPr>
          <a:spLocks/>
        </xdr:cNvSpPr>
      </xdr:nvSpPr>
      <xdr:spPr>
        <a:xfrm>
          <a:off x="5267325" y="1924050"/>
          <a:ext cx="1476375" cy="1476375"/>
        </a:xfrm>
        <a:custGeom>
          <a:pathLst>
            <a:path h="155" w="155">
              <a:moveTo>
                <a:pt x="154" y="65"/>
              </a:moveTo>
              <a:lnTo>
                <a:pt x="64" y="0"/>
              </a:lnTo>
              <a:lnTo>
                <a:pt x="0" y="89"/>
              </a:lnTo>
              <a:lnTo>
                <a:pt x="89" y="154"/>
              </a:lnTo>
              <a:lnTo>
                <a:pt x="154" y="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600075</xdr:colOff>
      <xdr:row>12</xdr:row>
      <xdr:rowOff>9525</xdr:rowOff>
    </xdr:from>
    <xdr:ext cx="161925" cy="238125"/>
    <xdr:sp>
      <xdr:nvSpPr>
        <xdr:cNvPr id="5" name="TextBox 355"/>
        <xdr:cNvSpPr txBox="1">
          <a:spLocks noChangeArrowheads="1"/>
        </xdr:cNvSpPr>
      </xdr:nvSpPr>
      <xdr:spPr>
        <a:xfrm>
          <a:off x="6743700" y="2543175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142875</xdr:colOff>
      <xdr:row>20</xdr:row>
      <xdr:rowOff>28575</xdr:rowOff>
    </xdr:from>
    <xdr:ext cx="161925" cy="228600"/>
    <xdr:sp>
      <xdr:nvSpPr>
        <xdr:cNvPr id="6" name="TextBox 356"/>
        <xdr:cNvSpPr txBox="1">
          <a:spLocks noChangeArrowheads="1"/>
        </xdr:cNvSpPr>
      </xdr:nvSpPr>
      <xdr:spPr>
        <a:xfrm>
          <a:off x="6972300" y="401002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66675</xdr:colOff>
      <xdr:row>15</xdr:row>
      <xdr:rowOff>85725</xdr:rowOff>
    </xdr:from>
    <xdr:ext cx="161925" cy="238125"/>
    <xdr:sp>
      <xdr:nvSpPr>
        <xdr:cNvPr id="7" name="TextBox 357"/>
        <xdr:cNvSpPr txBox="1">
          <a:spLocks noChangeArrowheads="1"/>
        </xdr:cNvSpPr>
      </xdr:nvSpPr>
      <xdr:spPr>
        <a:xfrm>
          <a:off x="7581900" y="3162300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11</xdr:col>
      <xdr:colOff>0</xdr:colOff>
      <xdr:row>10</xdr:row>
      <xdr:rowOff>142875</xdr:rowOff>
    </xdr:from>
    <xdr:ext cx="161925" cy="228600"/>
    <xdr:sp>
      <xdr:nvSpPr>
        <xdr:cNvPr id="8" name="TextBox 358"/>
        <xdr:cNvSpPr txBox="1">
          <a:spLocks noChangeArrowheads="1"/>
        </xdr:cNvSpPr>
      </xdr:nvSpPr>
      <xdr:spPr>
        <a:xfrm>
          <a:off x="8201025" y="231457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9</xdr:col>
      <xdr:colOff>523875</xdr:colOff>
      <xdr:row>7</xdr:row>
      <xdr:rowOff>66675</xdr:rowOff>
    </xdr:from>
    <xdr:ext cx="161925" cy="228600"/>
    <xdr:sp>
      <xdr:nvSpPr>
        <xdr:cNvPr id="9" name="TextBox 359"/>
        <xdr:cNvSpPr txBox="1">
          <a:spLocks noChangeArrowheads="1"/>
        </xdr:cNvSpPr>
      </xdr:nvSpPr>
      <xdr:spPr>
        <a:xfrm>
          <a:off x="7353300" y="16954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8</xdr:col>
      <xdr:colOff>352425</xdr:colOff>
      <xdr:row>4</xdr:row>
      <xdr:rowOff>0</xdr:rowOff>
    </xdr:from>
    <xdr:ext cx="171450" cy="228600"/>
    <xdr:sp>
      <xdr:nvSpPr>
        <xdr:cNvPr id="10" name="TextBox 360"/>
        <xdr:cNvSpPr txBox="1">
          <a:spLocks noChangeArrowheads="1"/>
        </xdr:cNvSpPr>
      </xdr:nvSpPr>
      <xdr:spPr>
        <a:xfrm>
          <a:off x="6496050" y="1076325"/>
          <a:ext cx="1714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7</xdr:col>
      <xdr:colOff>419100</xdr:colOff>
      <xdr:row>8</xdr:row>
      <xdr:rowOff>114300</xdr:rowOff>
    </xdr:from>
    <xdr:ext cx="161925" cy="228600"/>
    <xdr:sp>
      <xdr:nvSpPr>
        <xdr:cNvPr id="11" name="TextBox 361"/>
        <xdr:cNvSpPr txBox="1">
          <a:spLocks noChangeArrowheads="1"/>
        </xdr:cNvSpPr>
      </xdr:nvSpPr>
      <xdr:spPr>
        <a:xfrm>
          <a:off x="5876925" y="19240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6</xdr:col>
      <xdr:colOff>495300</xdr:colOff>
      <xdr:row>13</xdr:row>
      <xdr:rowOff>66675</xdr:rowOff>
    </xdr:from>
    <xdr:ext cx="161925" cy="228600"/>
    <xdr:sp>
      <xdr:nvSpPr>
        <xdr:cNvPr id="12" name="TextBox 362"/>
        <xdr:cNvSpPr txBox="1">
          <a:spLocks noChangeArrowheads="1"/>
        </xdr:cNvSpPr>
      </xdr:nvSpPr>
      <xdr:spPr>
        <a:xfrm>
          <a:off x="5267325" y="278130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7</xdr:col>
      <xdr:colOff>657225</xdr:colOff>
      <xdr:row>16</xdr:row>
      <xdr:rowOff>142875</xdr:rowOff>
    </xdr:from>
    <xdr:ext cx="171450" cy="228600"/>
    <xdr:sp>
      <xdr:nvSpPr>
        <xdr:cNvPr id="13" name="TextBox 363"/>
        <xdr:cNvSpPr txBox="1">
          <a:spLocks noChangeArrowheads="1"/>
        </xdr:cNvSpPr>
      </xdr:nvSpPr>
      <xdr:spPr>
        <a:xfrm>
          <a:off x="6115050" y="3400425"/>
          <a:ext cx="1714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twoCellAnchor>
    <xdr:from>
      <xdr:col>7</xdr:col>
      <xdr:colOff>657225</xdr:colOff>
      <xdr:row>22</xdr:row>
      <xdr:rowOff>104775</xdr:rowOff>
    </xdr:from>
    <xdr:to>
      <xdr:col>10</xdr:col>
      <xdr:colOff>76200</xdr:colOff>
      <xdr:row>26</xdr:row>
      <xdr:rowOff>104775</xdr:rowOff>
    </xdr:to>
    <xdr:sp>
      <xdr:nvSpPr>
        <xdr:cNvPr id="14" name="Polygon 364"/>
        <xdr:cNvSpPr>
          <a:spLocks/>
        </xdr:cNvSpPr>
      </xdr:nvSpPr>
      <xdr:spPr>
        <a:xfrm>
          <a:off x="6115050" y="4448175"/>
          <a:ext cx="1476375" cy="723900"/>
        </a:xfrm>
        <a:custGeom>
          <a:pathLst>
            <a:path h="76" w="155">
              <a:moveTo>
                <a:pt x="65" y="0"/>
              </a:moveTo>
              <a:lnTo>
                <a:pt x="0" y="37"/>
              </a:lnTo>
              <a:lnTo>
                <a:pt x="89" y="75"/>
              </a:lnTo>
              <a:lnTo>
                <a:pt x="154" y="37"/>
              </a:lnTo>
              <a:lnTo>
                <a:pt x="6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104775</xdr:rowOff>
    </xdr:from>
    <xdr:to>
      <xdr:col>11</xdr:col>
      <xdr:colOff>9525</xdr:colOff>
      <xdr:row>26</xdr:row>
      <xdr:rowOff>104775</xdr:rowOff>
    </xdr:to>
    <xdr:sp>
      <xdr:nvSpPr>
        <xdr:cNvPr id="15" name="Polygon 365"/>
        <xdr:cNvSpPr>
          <a:spLocks/>
        </xdr:cNvSpPr>
      </xdr:nvSpPr>
      <xdr:spPr>
        <a:xfrm>
          <a:off x="6734175" y="4448175"/>
          <a:ext cx="1476375" cy="723900"/>
        </a:xfrm>
        <a:custGeom>
          <a:pathLst>
            <a:path h="76" w="155">
              <a:moveTo>
                <a:pt x="0" y="0"/>
              </a:moveTo>
              <a:lnTo>
                <a:pt x="89" y="37"/>
              </a:lnTo>
              <a:lnTo>
                <a:pt x="154" y="75"/>
              </a:lnTo>
              <a:lnTo>
                <a:pt x="65" y="3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22</xdr:row>
      <xdr:rowOff>104775</xdr:rowOff>
    </xdr:from>
    <xdr:to>
      <xdr:col>9</xdr:col>
      <xdr:colOff>533400</xdr:colOff>
      <xdr:row>26</xdr:row>
      <xdr:rowOff>104775</xdr:rowOff>
    </xdr:to>
    <xdr:sp>
      <xdr:nvSpPr>
        <xdr:cNvPr id="16" name="Polygon 366"/>
        <xdr:cNvSpPr>
          <a:spLocks/>
        </xdr:cNvSpPr>
      </xdr:nvSpPr>
      <xdr:spPr>
        <a:xfrm>
          <a:off x="5876925" y="4448175"/>
          <a:ext cx="1485900" cy="723900"/>
        </a:xfrm>
        <a:custGeom>
          <a:pathLst>
            <a:path h="76" w="156">
              <a:moveTo>
                <a:pt x="90" y="0"/>
              </a:moveTo>
              <a:lnTo>
                <a:pt x="155" y="37"/>
              </a:lnTo>
              <a:lnTo>
                <a:pt x="65" y="75"/>
              </a:lnTo>
              <a:lnTo>
                <a:pt x="0" y="37"/>
              </a:lnTo>
              <a:lnTo>
                <a:pt x="9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104775</xdr:rowOff>
    </xdr:from>
    <xdr:to>
      <xdr:col>8</xdr:col>
      <xdr:colOff>600075</xdr:colOff>
      <xdr:row>26</xdr:row>
      <xdr:rowOff>104775</xdr:rowOff>
    </xdr:to>
    <xdr:sp>
      <xdr:nvSpPr>
        <xdr:cNvPr id="17" name="Polygon 367"/>
        <xdr:cNvSpPr>
          <a:spLocks/>
        </xdr:cNvSpPr>
      </xdr:nvSpPr>
      <xdr:spPr>
        <a:xfrm>
          <a:off x="5267325" y="4448175"/>
          <a:ext cx="1476375" cy="723900"/>
        </a:xfrm>
        <a:custGeom>
          <a:pathLst>
            <a:path h="76" w="155">
              <a:moveTo>
                <a:pt x="154" y="0"/>
              </a:moveTo>
              <a:lnTo>
                <a:pt x="64" y="37"/>
              </a:lnTo>
              <a:lnTo>
                <a:pt x="0" y="75"/>
              </a:lnTo>
              <a:lnTo>
                <a:pt x="89" y="37"/>
              </a:lnTo>
              <a:lnTo>
                <a:pt x="15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85725</xdr:rowOff>
    </xdr:from>
    <xdr:to>
      <xdr:col>9</xdr:col>
      <xdr:colOff>314325</xdr:colOff>
      <xdr:row>12</xdr:row>
      <xdr:rowOff>19050</xdr:rowOff>
    </xdr:to>
    <xdr:sp>
      <xdr:nvSpPr>
        <xdr:cNvPr id="1" name="Polygon 541"/>
        <xdr:cNvSpPr>
          <a:spLocks/>
        </xdr:cNvSpPr>
      </xdr:nvSpPr>
      <xdr:spPr>
        <a:xfrm>
          <a:off x="6000750" y="981075"/>
          <a:ext cx="1143000" cy="1571625"/>
        </a:xfrm>
        <a:custGeom>
          <a:pathLst>
            <a:path h="165" w="120">
              <a:moveTo>
                <a:pt x="77" y="164"/>
              </a:moveTo>
              <a:lnTo>
                <a:pt x="119" y="69"/>
              </a:lnTo>
              <a:lnTo>
                <a:pt x="42" y="0"/>
              </a:lnTo>
              <a:lnTo>
                <a:pt x="0" y="95"/>
              </a:lnTo>
              <a:lnTo>
                <a:pt x="77" y="1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</xdr:row>
      <xdr:rowOff>85725</xdr:rowOff>
    </xdr:from>
    <xdr:to>
      <xdr:col>10</xdr:col>
      <xdr:colOff>600075</xdr:colOff>
      <xdr:row>7</xdr:row>
      <xdr:rowOff>123825</xdr:rowOff>
    </xdr:to>
    <xdr:sp>
      <xdr:nvSpPr>
        <xdr:cNvPr id="2" name="Polygon 542"/>
        <xdr:cNvSpPr>
          <a:spLocks/>
        </xdr:cNvSpPr>
      </xdr:nvSpPr>
      <xdr:spPr>
        <a:xfrm>
          <a:off x="6400800" y="981075"/>
          <a:ext cx="1714500" cy="771525"/>
        </a:xfrm>
        <a:custGeom>
          <a:pathLst>
            <a:path h="81" w="180">
              <a:moveTo>
                <a:pt x="77" y="69"/>
              </a:moveTo>
              <a:lnTo>
                <a:pt x="179" y="80"/>
              </a:lnTo>
              <a:lnTo>
                <a:pt x="103" y="11"/>
              </a:lnTo>
              <a:lnTo>
                <a:pt x="0" y="0"/>
              </a:lnTo>
              <a:lnTo>
                <a:pt x="77" y="6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</xdr:row>
      <xdr:rowOff>85725</xdr:rowOff>
    </xdr:from>
    <xdr:to>
      <xdr:col>8</xdr:col>
      <xdr:colOff>266700</xdr:colOff>
      <xdr:row>11</xdr:row>
      <xdr:rowOff>28575</xdr:rowOff>
    </xdr:to>
    <xdr:sp>
      <xdr:nvSpPr>
        <xdr:cNvPr id="3" name="Polygon 543"/>
        <xdr:cNvSpPr>
          <a:spLocks/>
        </xdr:cNvSpPr>
      </xdr:nvSpPr>
      <xdr:spPr>
        <a:xfrm>
          <a:off x="5153025" y="981075"/>
          <a:ext cx="1257300" cy="1400175"/>
        </a:xfrm>
        <a:custGeom>
          <a:pathLst>
            <a:path h="147" w="132">
              <a:moveTo>
                <a:pt x="89" y="95"/>
              </a:moveTo>
              <a:lnTo>
                <a:pt x="131" y="0"/>
              </a:lnTo>
              <a:lnTo>
                <a:pt x="42" y="52"/>
              </a:lnTo>
              <a:lnTo>
                <a:pt x="0" y="146"/>
              </a:lnTo>
              <a:lnTo>
                <a:pt x="89" y="9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9525</xdr:rowOff>
    </xdr:from>
    <xdr:to>
      <xdr:col>10</xdr:col>
      <xdr:colOff>600075</xdr:colOff>
      <xdr:row>12</xdr:row>
      <xdr:rowOff>114300</xdr:rowOff>
    </xdr:to>
    <xdr:sp>
      <xdr:nvSpPr>
        <xdr:cNvPr id="4" name="Polygon 544"/>
        <xdr:cNvSpPr>
          <a:spLocks/>
        </xdr:cNvSpPr>
      </xdr:nvSpPr>
      <xdr:spPr>
        <a:xfrm>
          <a:off x="6734175" y="1638300"/>
          <a:ext cx="1381125" cy="1009650"/>
        </a:xfrm>
        <a:custGeom>
          <a:pathLst>
            <a:path h="106" w="145">
              <a:moveTo>
                <a:pt x="0" y="95"/>
              </a:moveTo>
              <a:lnTo>
                <a:pt x="102" y="105"/>
              </a:lnTo>
              <a:lnTo>
                <a:pt x="144" y="11"/>
              </a:lnTo>
              <a:lnTo>
                <a:pt x="42" y="0"/>
              </a:lnTo>
              <a:lnTo>
                <a:pt x="0" y="9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76200</xdr:rowOff>
    </xdr:from>
    <xdr:to>
      <xdr:col>8</xdr:col>
      <xdr:colOff>600075</xdr:colOff>
      <xdr:row>14</xdr:row>
      <xdr:rowOff>142875</xdr:rowOff>
    </xdr:to>
    <xdr:sp>
      <xdr:nvSpPr>
        <xdr:cNvPr id="5" name="Polygon 545"/>
        <xdr:cNvSpPr>
          <a:spLocks/>
        </xdr:cNvSpPr>
      </xdr:nvSpPr>
      <xdr:spPr>
        <a:xfrm>
          <a:off x="5153025" y="1885950"/>
          <a:ext cx="1590675" cy="1152525"/>
        </a:xfrm>
        <a:custGeom>
          <a:pathLst>
            <a:path h="121" w="167">
              <a:moveTo>
                <a:pt x="166" y="69"/>
              </a:moveTo>
              <a:lnTo>
                <a:pt x="89" y="0"/>
              </a:lnTo>
              <a:lnTo>
                <a:pt x="0" y="51"/>
              </a:lnTo>
              <a:lnTo>
                <a:pt x="76" y="120"/>
              </a:lnTo>
              <a:lnTo>
                <a:pt x="166" y="6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12</xdr:row>
      <xdr:rowOff>9525</xdr:rowOff>
    </xdr:from>
    <xdr:to>
      <xdr:col>10</xdr:col>
      <xdr:colOff>409575</xdr:colOff>
      <xdr:row>17</xdr:row>
      <xdr:rowOff>171450</xdr:rowOff>
    </xdr:to>
    <xdr:sp>
      <xdr:nvSpPr>
        <xdr:cNvPr id="6" name="Polygon 546"/>
        <xdr:cNvSpPr>
          <a:spLocks/>
        </xdr:cNvSpPr>
      </xdr:nvSpPr>
      <xdr:spPr>
        <a:xfrm>
          <a:off x="6734175" y="2543175"/>
          <a:ext cx="1190625" cy="1066800"/>
        </a:xfrm>
        <a:custGeom>
          <a:pathLst>
            <a:path h="112" w="125">
              <a:moveTo>
                <a:pt x="0" y="0"/>
              </a:moveTo>
              <a:lnTo>
                <a:pt x="21" y="101"/>
              </a:lnTo>
              <a:lnTo>
                <a:pt x="124" y="111"/>
              </a:lnTo>
              <a:lnTo>
                <a:pt x="102" y="1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7</xdr:row>
      <xdr:rowOff>114300</xdr:rowOff>
    </xdr:from>
    <xdr:to>
      <xdr:col>11</xdr:col>
      <xdr:colOff>123825</xdr:colOff>
      <xdr:row>17</xdr:row>
      <xdr:rowOff>171450</xdr:rowOff>
    </xdr:to>
    <xdr:sp>
      <xdr:nvSpPr>
        <xdr:cNvPr id="7" name="Polygon 547"/>
        <xdr:cNvSpPr>
          <a:spLocks/>
        </xdr:cNvSpPr>
      </xdr:nvSpPr>
      <xdr:spPr>
        <a:xfrm>
          <a:off x="7705725" y="1743075"/>
          <a:ext cx="619125" cy="1866900"/>
        </a:xfrm>
        <a:custGeom>
          <a:pathLst>
            <a:path h="196" w="65">
              <a:moveTo>
                <a:pt x="0" y="94"/>
              </a:moveTo>
              <a:lnTo>
                <a:pt x="22" y="195"/>
              </a:lnTo>
              <a:lnTo>
                <a:pt x="64" y="101"/>
              </a:lnTo>
              <a:lnTo>
                <a:pt x="42" y="0"/>
              </a:lnTo>
              <a:lnTo>
                <a:pt x="0" y="9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12</xdr:row>
      <xdr:rowOff>9525</xdr:rowOff>
    </xdr:from>
    <xdr:to>
      <xdr:col>9</xdr:col>
      <xdr:colOff>114300</xdr:colOff>
      <xdr:row>20</xdr:row>
      <xdr:rowOff>19050</xdr:rowOff>
    </xdr:to>
    <xdr:sp>
      <xdr:nvSpPr>
        <xdr:cNvPr id="8" name="Polygon 548"/>
        <xdr:cNvSpPr>
          <a:spLocks/>
        </xdr:cNvSpPr>
      </xdr:nvSpPr>
      <xdr:spPr>
        <a:xfrm>
          <a:off x="5876925" y="2543175"/>
          <a:ext cx="1066800" cy="1457325"/>
        </a:xfrm>
        <a:custGeom>
          <a:pathLst>
            <a:path h="153" w="112">
              <a:moveTo>
                <a:pt x="90" y="0"/>
              </a:moveTo>
              <a:lnTo>
                <a:pt x="0" y="51"/>
              </a:lnTo>
              <a:lnTo>
                <a:pt x="22" y="152"/>
              </a:lnTo>
              <a:lnTo>
                <a:pt x="111" y="101"/>
              </a:lnTo>
              <a:lnTo>
                <a:pt x="9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19050</xdr:rowOff>
    </xdr:from>
    <xdr:to>
      <xdr:col>7</xdr:col>
      <xdr:colOff>638175</xdr:colOff>
      <xdr:row>20</xdr:row>
      <xdr:rowOff>19050</xdr:rowOff>
    </xdr:to>
    <xdr:sp>
      <xdr:nvSpPr>
        <xdr:cNvPr id="9" name="Polygon 549"/>
        <xdr:cNvSpPr>
          <a:spLocks/>
        </xdr:cNvSpPr>
      </xdr:nvSpPr>
      <xdr:spPr>
        <a:xfrm>
          <a:off x="5153025" y="2371725"/>
          <a:ext cx="942975" cy="1628775"/>
        </a:xfrm>
        <a:custGeom>
          <a:pathLst>
            <a:path h="171" w="99">
              <a:moveTo>
                <a:pt x="76" y="69"/>
              </a:moveTo>
              <a:lnTo>
                <a:pt x="0" y="0"/>
              </a:lnTo>
              <a:lnTo>
                <a:pt x="21" y="101"/>
              </a:lnTo>
              <a:lnTo>
                <a:pt x="98" y="170"/>
              </a:lnTo>
              <a:lnTo>
                <a:pt x="76" y="6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17</xdr:row>
      <xdr:rowOff>66675</xdr:rowOff>
    </xdr:from>
    <xdr:to>
      <xdr:col>10</xdr:col>
      <xdr:colOff>409575</xdr:colOff>
      <xdr:row>20</xdr:row>
      <xdr:rowOff>123825</xdr:rowOff>
    </xdr:to>
    <xdr:sp>
      <xdr:nvSpPr>
        <xdr:cNvPr id="10" name="Polygon 550"/>
        <xdr:cNvSpPr>
          <a:spLocks/>
        </xdr:cNvSpPr>
      </xdr:nvSpPr>
      <xdr:spPr>
        <a:xfrm>
          <a:off x="6086475" y="3505200"/>
          <a:ext cx="1838325" cy="600075"/>
        </a:xfrm>
        <a:custGeom>
          <a:pathLst>
            <a:path h="63" w="193">
              <a:moveTo>
                <a:pt x="89" y="0"/>
              </a:moveTo>
              <a:lnTo>
                <a:pt x="0" y="51"/>
              </a:lnTo>
              <a:lnTo>
                <a:pt x="102" y="62"/>
              </a:lnTo>
              <a:lnTo>
                <a:pt x="192" y="10"/>
              </a:lnTo>
              <a:lnTo>
                <a:pt x="8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600075</xdr:colOff>
      <xdr:row>12</xdr:row>
      <xdr:rowOff>9525</xdr:rowOff>
    </xdr:from>
    <xdr:ext cx="161925" cy="238125"/>
    <xdr:sp>
      <xdr:nvSpPr>
        <xdr:cNvPr id="11" name="TextBox 551"/>
        <xdr:cNvSpPr txBox="1">
          <a:spLocks noChangeArrowheads="1"/>
        </xdr:cNvSpPr>
      </xdr:nvSpPr>
      <xdr:spPr>
        <a:xfrm>
          <a:off x="6743700" y="2543175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104775</xdr:colOff>
      <xdr:row>17</xdr:row>
      <xdr:rowOff>66675</xdr:rowOff>
    </xdr:from>
    <xdr:ext cx="161925" cy="228600"/>
    <xdr:sp>
      <xdr:nvSpPr>
        <xdr:cNvPr id="12" name="TextBox 552"/>
        <xdr:cNvSpPr txBox="1">
          <a:spLocks noChangeArrowheads="1"/>
        </xdr:cNvSpPr>
      </xdr:nvSpPr>
      <xdr:spPr>
        <a:xfrm>
          <a:off x="6934200" y="350520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190500</xdr:colOff>
      <xdr:row>12</xdr:row>
      <xdr:rowOff>104775</xdr:rowOff>
    </xdr:from>
    <xdr:ext cx="161925" cy="228600"/>
    <xdr:sp>
      <xdr:nvSpPr>
        <xdr:cNvPr id="13" name="TextBox 553"/>
        <xdr:cNvSpPr txBox="1">
          <a:spLocks noChangeArrowheads="1"/>
        </xdr:cNvSpPr>
      </xdr:nvSpPr>
      <xdr:spPr>
        <a:xfrm>
          <a:off x="7705725" y="263842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304800</xdr:colOff>
      <xdr:row>7</xdr:row>
      <xdr:rowOff>9525</xdr:rowOff>
    </xdr:from>
    <xdr:ext cx="161925" cy="238125"/>
    <xdr:sp>
      <xdr:nvSpPr>
        <xdr:cNvPr id="14" name="TextBox 554"/>
        <xdr:cNvSpPr txBox="1">
          <a:spLocks noChangeArrowheads="1"/>
        </xdr:cNvSpPr>
      </xdr:nvSpPr>
      <xdr:spPr>
        <a:xfrm>
          <a:off x="7134225" y="1638300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7</xdr:col>
      <xdr:colOff>542925</xdr:colOff>
      <xdr:row>8</xdr:row>
      <xdr:rowOff>76200</xdr:rowOff>
    </xdr:from>
    <xdr:ext cx="171450" cy="228600"/>
    <xdr:sp>
      <xdr:nvSpPr>
        <xdr:cNvPr id="15" name="TextBox 555"/>
        <xdr:cNvSpPr txBox="1">
          <a:spLocks noChangeArrowheads="1"/>
        </xdr:cNvSpPr>
      </xdr:nvSpPr>
      <xdr:spPr>
        <a:xfrm>
          <a:off x="6000750" y="1885950"/>
          <a:ext cx="1714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7</xdr:col>
      <xdr:colOff>419100</xdr:colOff>
      <xdr:row>14</xdr:row>
      <xdr:rowOff>142875</xdr:rowOff>
    </xdr:from>
    <xdr:ext cx="161925" cy="228600"/>
    <xdr:sp>
      <xdr:nvSpPr>
        <xdr:cNvPr id="16" name="TextBox 556"/>
        <xdr:cNvSpPr txBox="1">
          <a:spLocks noChangeArrowheads="1"/>
        </xdr:cNvSpPr>
      </xdr:nvSpPr>
      <xdr:spPr>
        <a:xfrm>
          <a:off x="5876925" y="303847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409575</xdr:colOff>
      <xdr:row>17</xdr:row>
      <xdr:rowOff>161925</xdr:rowOff>
    </xdr:from>
    <xdr:ext cx="161925" cy="238125"/>
    <xdr:sp>
      <xdr:nvSpPr>
        <xdr:cNvPr id="17" name="TextBox 557"/>
        <xdr:cNvSpPr txBox="1">
          <a:spLocks noChangeArrowheads="1"/>
        </xdr:cNvSpPr>
      </xdr:nvSpPr>
      <xdr:spPr>
        <a:xfrm>
          <a:off x="7924800" y="3600450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600075</xdr:colOff>
      <xdr:row>7</xdr:row>
      <xdr:rowOff>114300</xdr:rowOff>
    </xdr:from>
    <xdr:ext cx="161925" cy="228600"/>
    <xdr:sp>
      <xdr:nvSpPr>
        <xdr:cNvPr id="18" name="TextBox 558"/>
        <xdr:cNvSpPr txBox="1">
          <a:spLocks noChangeArrowheads="1"/>
        </xdr:cNvSpPr>
      </xdr:nvSpPr>
      <xdr:spPr>
        <a:xfrm>
          <a:off x="8115300" y="174307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257175</xdr:colOff>
      <xdr:row>3</xdr:row>
      <xdr:rowOff>85725</xdr:rowOff>
    </xdr:from>
    <xdr:ext cx="161925" cy="238125"/>
    <xdr:sp>
      <xdr:nvSpPr>
        <xdr:cNvPr id="19" name="TextBox 559"/>
        <xdr:cNvSpPr txBox="1">
          <a:spLocks noChangeArrowheads="1"/>
        </xdr:cNvSpPr>
      </xdr:nvSpPr>
      <xdr:spPr>
        <a:xfrm>
          <a:off x="6400800" y="981075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6</xdr:col>
      <xdr:colOff>381000</xdr:colOff>
      <xdr:row>11</xdr:row>
      <xdr:rowOff>28575</xdr:rowOff>
    </xdr:from>
    <xdr:ext cx="238125" cy="228600"/>
    <xdr:sp>
      <xdr:nvSpPr>
        <xdr:cNvPr id="20" name="TextBox 560"/>
        <xdr:cNvSpPr txBox="1">
          <a:spLocks noChangeArrowheads="1"/>
        </xdr:cNvSpPr>
      </xdr:nvSpPr>
      <xdr:spPr>
        <a:xfrm>
          <a:off x="5153025" y="238125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7</xdr:col>
      <xdr:colOff>638175</xdr:colOff>
      <xdr:row>20</xdr:row>
      <xdr:rowOff>9525</xdr:rowOff>
    </xdr:from>
    <xdr:ext cx="238125" cy="238125"/>
    <xdr:sp>
      <xdr:nvSpPr>
        <xdr:cNvPr id="21" name="TextBox 561"/>
        <xdr:cNvSpPr txBox="1">
          <a:spLocks noChangeArrowheads="1"/>
        </xdr:cNvSpPr>
      </xdr:nvSpPr>
      <xdr:spPr>
        <a:xfrm>
          <a:off x="6096000" y="3990975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9</xdr:col>
      <xdr:colOff>228600</xdr:colOff>
      <xdr:row>20</xdr:row>
      <xdr:rowOff>114300</xdr:rowOff>
    </xdr:from>
    <xdr:ext cx="238125" cy="228600"/>
    <xdr:sp>
      <xdr:nvSpPr>
        <xdr:cNvPr id="22" name="TextBox 562"/>
        <xdr:cNvSpPr txBox="1">
          <a:spLocks noChangeArrowheads="1"/>
        </xdr:cNvSpPr>
      </xdr:nvSpPr>
      <xdr:spPr>
        <a:xfrm>
          <a:off x="7058025" y="409575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11</xdr:col>
      <xdr:colOff>114300</xdr:colOff>
      <xdr:row>13</xdr:row>
      <xdr:rowOff>0</xdr:rowOff>
    </xdr:from>
    <xdr:ext cx="238125" cy="228600"/>
    <xdr:sp>
      <xdr:nvSpPr>
        <xdr:cNvPr id="23" name="TextBox 563"/>
        <xdr:cNvSpPr txBox="1">
          <a:spLocks noChangeArrowheads="1"/>
        </xdr:cNvSpPr>
      </xdr:nvSpPr>
      <xdr:spPr>
        <a:xfrm>
          <a:off x="8315325" y="271462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9</xdr:col>
      <xdr:colOff>561975</xdr:colOff>
      <xdr:row>4</xdr:row>
      <xdr:rowOff>9525</xdr:rowOff>
    </xdr:from>
    <xdr:ext cx="238125" cy="228600"/>
    <xdr:sp>
      <xdr:nvSpPr>
        <xdr:cNvPr id="24" name="TextBox 564"/>
        <xdr:cNvSpPr txBox="1">
          <a:spLocks noChangeArrowheads="1"/>
        </xdr:cNvSpPr>
      </xdr:nvSpPr>
      <xdr:spPr>
        <a:xfrm>
          <a:off x="7391400" y="108585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7</xdr:col>
      <xdr:colOff>104775</xdr:colOff>
      <xdr:row>6</xdr:row>
      <xdr:rowOff>28575</xdr:rowOff>
    </xdr:from>
    <xdr:ext cx="238125" cy="228600"/>
    <xdr:sp>
      <xdr:nvSpPr>
        <xdr:cNvPr id="25" name="TextBox 565"/>
        <xdr:cNvSpPr txBox="1">
          <a:spLocks noChangeArrowheads="1"/>
        </xdr:cNvSpPr>
      </xdr:nvSpPr>
      <xdr:spPr>
        <a:xfrm>
          <a:off x="5562600" y="147637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6</xdr:col>
      <xdr:colOff>581025</xdr:colOff>
      <xdr:row>16</xdr:row>
      <xdr:rowOff>76200</xdr:rowOff>
    </xdr:from>
    <xdr:ext cx="247650" cy="228600"/>
    <xdr:sp>
      <xdr:nvSpPr>
        <xdr:cNvPr id="26" name="TextBox 566"/>
        <xdr:cNvSpPr txBox="1">
          <a:spLocks noChangeArrowheads="1"/>
        </xdr:cNvSpPr>
      </xdr:nvSpPr>
      <xdr:spPr>
        <a:xfrm>
          <a:off x="5353050" y="3333750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twoCellAnchor>
    <xdr:from>
      <xdr:col>7</xdr:col>
      <xdr:colOff>542925</xdr:colOff>
      <xdr:row>22</xdr:row>
      <xdr:rowOff>104775</xdr:rowOff>
    </xdr:from>
    <xdr:to>
      <xdr:col>9</xdr:col>
      <xdr:colOff>314325</xdr:colOff>
      <xdr:row>25</xdr:row>
      <xdr:rowOff>9525</xdr:rowOff>
    </xdr:to>
    <xdr:sp>
      <xdr:nvSpPr>
        <xdr:cNvPr id="27" name="Polygon 567"/>
        <xdr:cNvSpPr>
          <a:spLocks/>
        </xdr:cNvSpPr>
      </xdr:nvSpPr>
      <xdr:spPr>
        <a:xfrm>
          <a:off x="6000750" y="4448175"/>
          <a:ext cx="1143000" cy="447675"/>
        </a:xfrm>
        <a:custGeom>
          <a:pathLst>
            <a:path h="47" w="120">
              <a:moveTo>
                <a:pt x="77" y="0"/>
              </a:moveTo>
              <a:lnTo>
                <a:pt x="119" y="23"/>
              </a:lnTo>
              <a:lnTo>
                <a:pt x="42" y="46"/>
              </a:lnTo>
              <a:lnTo>
                <a:pt x="0" y="23"/>
              </a:lnTo>
              <a:lnTo>
                <a:pt x="7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23</xdr:row>
      <xdr:rowOff>142875</xdr:rowOff>
    </xdr:from>
    <xdr:to>
      <xdr:col>10</xdr:col>
      <xdr:colOff>600075</xdr:colOff>
      <xdr:row>26</xdr:row>
      <xdr:rowOff>47625</xdr:rowOff>
    </xdr:to>
    <xdr:sp>
      <xdr:nvSpPr>
        <xdr:cNvPr id="28" name="Polygon 568"/>
        <xdr:cNvSpPr>
          <a:spLocks/>
        </xdr:cNvSpPr>
      </xdr:nvSpPr>
      <xdr:spPr>
        <a:xfrm>
          <a:off x="6400800" y="4667250"/>
          <a:ext cx="1714500" cy="447675"/>
        </a:xfrm>
        <a:custGeom>
          <a:pathLst>
            <a:path h="47" w="180">
              <a:moveTo>
                <a:pt x="77" y="0"/>
              </a:moveTo>
              <a:lnTo>
                <a:pt x="179" y="23"/>
              </a:lnTo>
              <a:lnTo>
                <a:pt x="103" y="46"/>
              </a:lnTo>
              <a:lnTo>
                <a:pt x="0" y="23"/>
              </a:lnTo>
              <a:lnTo>
                <a:pt x="7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142875</xdr:rowOff>
    </xdr:from>
    <xdr:to>
      <xdr:col>8</xdr:col>
      <xdr:colOff>266700</xdr:colOff>
      <xdr:row>26</xdr:row>
      <xdr:rowOff>47625</xdr:rowOff>
    </xdr:to>
    <xdr:sp>
      <xdr:nvSpPr>
        <xdr:cNvPr id="29" name="Polygon 569"/>
        <xdr:cNvSpPr>
          <a:spLocks/>
        </xdr:cNvSpPr>
      </xdr:nvSpPr>
      <xdr:spPr>
        <a:xfrm>
          <a:off x="5153025" y="4667250"/>
          <a:ext cx="1257300" cy="447675"/>
        </a:xfrm>
        <a:custGeom>
          <a:pathLst>
            <a:path h="47" w="132">
              <a:moveTo>
                <a:pt x="89" y="0"/>
              </a:moveTo>
              <a:lnTo>
                <a:pt x="131" y="23"/>
              </a:lnTo>
              <a:lnTo>
                <a:pt x="42" y="46"/>
              </a:lnTo>
              <a:lnTo>
                <a:pt x="0" y="23"/>
              </a:lnTo>
              <a:lnTo>
                <a:pt x="8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104775</xdr:rowOff>
    </xdr:from>
    <xdr:to>
      <xdr:col>10</xdr:col>
      <xdr:colOff>600075</xdr:colOff>
      <xdr:row>25</xdr:row>
      <xdr:rowOff>9525</xdr:rowOff>
    </xdr:to>
    <xdr:sp>
      <xdr:nvSpPr>
        <xdr:cNvPr id="30" name="Polygon 570"/>
        <xdr:cNvSpPr>
          <a:spLocks/>
        </xdr:cNvSpPr>
      </xdr:nvSpPr>
      <xdr:spPr>
        <a:xfrm>
          <a:off x="6734175" y="4448175"/>
          <a:ext cx="1381125" cy="447675"/>
        </a:xfrm>
        <a:custGeom>
          <a:pathLst>
            <a:path h="47" w="145">
              <a:moveTo>
                <a:pt x="0" y="0"/>
              </a:moveTo>
              <a:lnTo>
                <a:pt x="102" y="23"/>
              </a:lnTo>
              <a:lnTo>
                <a:pt x="144" y="46"/>
              </a:lnTo>
              <a:lnTo>
                <a:pt x="42" y="2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22</xdr:row>
      <xdr:rowOff>104775</xdr:rowOff>
    </xdr:from>
    <xdr:to>
      <xdr:col>8</xdr:col>
      <xdr:colOff>600075</xdr:colOff>
      <xdr:row>25</xdr:row>
      <xdr:rowOff>9525</xdr:rowOff>
    </xdr:to>
    <xdr:sp>
      <xdr:nvSpPr>
        <xdr:cNvPr id="31" name="Polygon 571"/>
        <xdr:cNvSpPr>
          <a:spLocks/>
        </xdr:cNvSpPr>
      </xdr:nvSpPr>
      <xdr:spPr>
        <a:xfrm>
          <a:off x="5153025" y="4448175"/>
          <a:ext cx="1590675" cy="447675"/>
        </a:xfrm>
        <a:custGeom>
          <a:pathLst>
            <a:path h="47" w="167">
              <a:moveTo>
                <a:pt x="166" y="0"/>
              </a:moveTo>
              <a:lnTo>
                <a:pt x="89" y="23"/>
              </a:lnTo>
              <a:lnTo>
                <a:pt x="0" y="46"/>
              </a:lnTo>
              <a:lnTo>
                <a:pt x="76" y="23"/>
              </a:lnTo>
              <a:lnTo>
                <a:pt x="166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104775</xdr:rowOff>
    </xdr:from>
    <xdr:to>
      <xdr:col>10</xdr:col>
      <xdr:colOff>409575</xdr:colOff>
      <xdr:row>25</xdr:row>
      <xdr:rowOff>9525</xdr:rowOff>
    </xdr:to>
    <xdr:sp>
      <xdr:nvSpPr>
        <xdr:cNvPr id="32" name="Polygon 572"/>
        <xdr:cNvSpPr>
          <a:spLocks/>
        </xdr:cNvSpPr>
      </xdr:nvSpPr>
      <xdr:spPr>
        <a:xfrm>
          <a:off x="6734175" y="4448175"/>
          <a:ext cx="1190625" cy="447675"/>
        </a:xfrm>
        <a:custGeom>
          <a:pathLst>
            <a:path h="47" w="125">
              <a:moveTo>
                <a:pt x="0" y="0"/>
              </a:moveTo>
              <a:lnTo>
                <a:pt x="21" y="23"/>
              </a:lnTo>
              <a:lnTo>
                <a:pt x="124" y="46"/>
              </a:lnTo>
              <a:lnTo>
                <a:pt x="102" y="2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23</xdr:row>
      <xdr:rowOff>142875</xdr:rowOff>
    </xdr:from>
    <xdr:to>
      <xdr:col>11</xdr:col>
      <xdr:colOff>123825</xdr:colOff>
      <xdr:row>26</xdr:row>
      <xdr:rowOff>47625</xdr:rowOff>
    </xdr:to>
    <xdr:sp>
      <xdr:nvSpPr>
        <xdr:cNvPr id="33" name="Polygon 573"/>
        <xdr:cNvSpPr>
          <a:spLocks/>
        </xdr:cNvSpPr>
      </xdr:nvSpPr>
      <xdr:spPr>
        <a:xfrm>
          <a:off x="7705725" y="4667250"/>
          <a:ext cx="619125" cy="447675"/>
        </a:xfrm>
        <a:custGeom>
          <a:pathLst>
            <a:path h="47" w="65">
              <a:moveTo>
                <a:pt x="0" y="0"/>
              </a:moveTo>
              <a:lnTo>
                <a:pt x="22" y="23"/>
              </a:lnTo>
              <a:lnTo>
                <a:pt x="64" y="46"/>
              </a:lnTo>
              <a:lnTo>
                <a:pt x="42" y="2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22</xdr:row>
      <xdr:rowOff>104775</xdr:rowOff>
    </xdr:from>
    <xdr:to>
      <xdr:col>9</xdr:col>
      <xdr:colOff>114300</xdr:colOff>
      <xdr:row>25</xdr:row>
      <xdr:rowOff>9525</xdr:rowOff>
    </xdr:to>
    <xdr:sp>
      <xdr:nvSpPr>
        <xdr:cNvPr id="34" name="Polygon 574"/>
        <xdr:cNvSpPr>
          <a:spLocks/>
        </xdr:cNvSpPr>
      </xdr:nvSpPr>
      <xdr:spPr>
        <a:xfrm>
          <a:off x="5876925" y="4448175"/>
          <a:ext cx="1066800" cy="447675"/>
        </a:xfrm>
        <a:custGeom>
          <a:pathLst>
            <a:path h="47" w="112">
              <a:moveTo>
                <a:pt x="90" y="0"/>
              </a:moveTo>
              <a:lnTo>
                <a:pt x="0" y="23"/>
              </a:lnTo>
              <a:lnTo>
                <a:pt x="22" y="46"/>
              </a:lnTo>
              <a:lnTo>
                <a:pt x="111" y="23"/>
              </a:lnTo>
              <a:lnTo>
                <a:pt x="9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142875</xdr:rowOff>
    </xdr:from>
    <xdr:to>
      <xdr:col>7</xdr:col>
      <xdr:colOff>638175</xdr:colOff>
      <xdr:row>26</xdr:row>
      <xdr:rowOff>47625</xdr:rowOff>
    </xdr:to>
    <xdr:sp>
      <xdr:nvSpPr>
        <xdr:cNvPr id="35" name="Polygon 575"/>
        <xdr:cNvSpPr>
          <a:spLocks/>
        </xdr:cNvSpPr>
      </xdr:nvSpPr>
      <xdr:spPr>
        <a:xfrm>
          <a:off x="5153025" y="4667250"/>
          <a:ext cx="942975" cy="447675"/>
        </a:xfrm>
        <a:custGeom>
          <a:pathLst>
            <a:path h="47" w="99">
              <a:moveTo>
                <a:pt x="76" y="0"/>
              </a:moveTo>
              <a:lnTo>
                <a:pt x="0" y="23"/>
              </a:lnTo>
              <a:lnTo>
                <a:pt x="21" y="46"/>
              </a:lnTo>
              <a:lnTo>
                <a:pt x="98" y="23"/>
              </a:lnTo>
              <a:lnTo>
                <a:pt x="76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23</xdr:row>
      <xdr:rowOff>142875</xdr:rowOff>
    </xdr:from>
    <xdr:to>
      <xdr:col>10</xdr:col>
      <xdr:colOff>409575</xdr:colOff>
      <xdr:row>26</xdr:row>
      <xdr:rowOff>47625</xdr:rowOff>
    </xdr:to>
    <xdr:sp>
      <xdr:nvSpPr>
        <xdr:cNvPr id="36" name="Polygon 576"/>
        <xdr:cNvSpPr>
          <a:spLocks/>
        </xdr:cNvSpPr>
      </xdr:nvSpPr>
      <xdr:spPr>
        <a:xfrm>
          <a:off x="6086475" y="4667250"/>
          <a:ext cx="1838325" cy="447675"/>
        </a:xfrm>
        <a:custGeom>
          <a:pathLst>
            <a:path h="47" w="193">
              <a:moveTo>
                <a:pt x="89" y="0"/>
              </a:moveTo>
              <a:lnTo>
                <a:pt x="0" y="23"/>
              </a:lnTo>
              <a:lnTo>
                <a:pt x="102" y="46"/>
              </a:lnTo>
              <a:lnTo>
                <a:pt x="192" y="23"/>
              </a:lnTo>
              <a:lnTo>
                <a:pt x="8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</xdr:row>
      <xdr:rowOff>57150</xdr:rowOff>
    </xdr:from>
    <xdr:to>
      <xdr:col>9</xdr:col>
      <xdr:colOff>190500</xdr:colOff>
      <xdr:row>12</xdr:row>
      <xdr:rowOff>19050</xdr:rowOff>
    </xdr:to>
    <xdr:sp>
      <xdr:nvSpPr>
        <xdr:cNvPr id="1" name="Polygon 410"/>
        <xdr:cNvSpPr>
          <a:spLocks/>
        </xdr:cNvSpPr>
      </xdr:nvSpPr>
      <xdr:spPr>
        <a:xfrm>
          <a:off x="6200775" y="1133475"/>
          <a:ext cx="819150" cy="1419225"/>
        </a:xfrm>
        <a:custGeom>
          <a:pathLst>
            <a:path h="149" w="86">
              <a:moveTo>
                <a:pt x="56" y="148"/>
              </a:moveTo>
              <a:lnTo>
                <a:pt x="85" y="66"/>
              </a:lnTo>
              <a:lnTo>
                <a:pt x="30" y="0"/>
              </a:lnTo>
              <a:lnTo>
                <a:pt x="0" y="81"/>
              </a:lnTo>
              <a:lnTo>
                <a:pt x="56" y="14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</xdr:row>
      <xdr:rowOff>95250</xdr:rowOff>
    </xdr:from>
    <xdr:to>
      <xdr:col>10</xdr:col>
      <xdr:colOff>323850</xdr:colOff>
      <xdr:row>7</xdr:row>
      <xdr:rowOff>142875</xdr:rowOff>
    </xdr:to>
    <xdr:sp>
      <xdr:nvSpPr>
        <xdr:cNvPr id="2" name="Polygon 411"/>
        <xdr:cNvSpPr>
          <a:spLocks/>
        </xdr:cNvSpPr>
      </xdr:nvSpPr>
      <xdr:spPr>
        <a:xfrm>
          <a:off x="6486525" y="990600"/>
          <a:ext cx="1352550" cy="781050"/>
        </a:xfrm>
        <a:custGeom>
          <a:pathLst>
            <a:path h="82" w="142">
              <a:moveTo>
                <a:pt x="55" y="81"/>
              </a:moveTo>
              <a:lnTo>
                <a:pt x="141" y="66"/>
              </a:lnTo>
              <a:lnTo>
                <a:pt x="85" y="0"/>
              </a:lnTo>
              <a:lnTo>
                <a:pt x="0" y="15"/>
              </a:lnTo>
              <a:lnTo>
                <a:pt x="55" y="8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4</xdr:row>
      <xdr:rowOff>57150</xdr:rowOff>
    </xdr:from>
    <xdr:to>
      <xdr:col>8</xdr:col>
      <xdr:colOff>352425</xdr:colOff>
      <xdr:row>9</xdr:row>
      <xdr:rowOff>66675</xdr:rowOff>
    </xdr:to>
    <xdr:sp>
      <xdr:nvSpPr>
        <xdr:cNvPr id="3" name="Polygon 412"/>
        <xdr:cNvSpPr>
          <a:spLocks/>
        </xdr:cNvSpPr>
      </xdr:nvSpPr>
      <xdr:spPr>
        <a:xfrm>
          <a:off x="5391150" y="1133475"/>
          <a:ext cx="1104900" cy="923925"/>
        </a:xfrm>
        <a:custGeom>
          <a:pathLst>
            <a:path h="97" w="116">
              <a:moveTo>
                <a:pt x="85" y="81"/>
              </a:moveTo>
              <a:lnTo>
                <a:pt x="115" y="0"/>
              </a:lnTo>
              <a:lnTo>
                <a:pt x="29" y="15"/>
              </a:lnTo>
              <a:lnTo>
                <a:pt x="0" y="96"/>
              </a:lnTo>
              <a:lnTo>
                <a:pt x="85" y="8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6</xdr:row>
      <xdr:rowOff>171450</xdr:rowOff>
    </xdr:from>
    <xdr:to>
      <xdr:col>10</xdr:col>
      <xdr:colOff>323850</xdr:colOff>
      <xdr:row>12</xdr:row>
      <xdr:rowOff>19050</xdr:rowOff>
    </xdr:to>
    <xdr:sp>
      <xdr:nvSpPr>
        <xdr:cNvPr id="4" name="Polygon 413"/>
        <xdr:cNvSpPr>
          <a:spLocks/>
        </xdr:cNvSpPr>
      </xdr:nvSpPr>
      <xdr:spPr>
        <a:xfrm>
          <a:off x="6734175" y="1619250"/>
          <a:ext cx="1104900" cy="933450"/>
        </a:xfrm>
        <a:custGeom>
          <a:pathLst>
            <a:path h="98" w="116">
              <a:moveTo>
                <a:pt x="0" y="97"/>
              </a:moveTo>
              <a:lnTo>
                <a:pt x="85" y="82"/>
              </a:lnTo>
              <a:lnTo>
                <a:pt x="115" y="0"/>
              </a:lnTo>
              <a:lnTo>
                <a:pt x="29" y="15"/>
              </a:lnTo>
              <a:lnTo>
                <a:pt x="0" y="9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8</xdr:row>
      <xdr:rowOff>95250</xdr:rowOff>
    </xdr:from>
    <xdr:to>
      <xdr:col>8</xdr:col>
      <xdr:colOff>600075</xdr:colOff>
      <xdr:row>12</xdr:row>
      <xdr:rowOff>161925</xdr:rowOff>
    </xdr:to>
    <xdr:sp>
      <xdr:nvSpPr>
        <xdr:cNvPr id="5" name="Polygon 414"/>
        <xdr:cNvSpPr>
          <a:spLocks/>
        </xdr:cNvSpPr>
      </xdr:nvSpPr>
      <xdr:spPr>
        <a:xfrm>
          <a:off x="5391150" y="1905000"/>
          <a:ext cx="1352550" cy="790575"/>
        </a:xfrm>
        <a:custGeom>
          <a:pathLst>
            <a:path h="83" w="142">
              <a:moveTo>
                <a:pt x="141" y="67"/>
              </a:moveTo>
              <a:lnTo>
                <a:pt x="85" y="0"/>
              </a:lnTo>
              <a:lnTo>
                <a:pt x="0" y="15"/>
              </a:lnTo>
              <a:lnTo>
                <a:pt x="55" y="82"/>
              </a:lnTo>
              <a:lnTo>
                <a:pt x="141" y="6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171450</xdr:rowOff>
    </xdr:from>
    <xdr:to>
      <xdr:col>11</xdr:col>
      <xdr:colOff>161925</xdr:colOff>
      <xdr:row>14</xdr:row>
      <xdr:rowOff>142875</xdr:rowOff>
    </xdr:to>
    <xdr:sp>
      <xdr:nvSpPr>
        <xdr:cNvPr id="6" name="Polygon 415"/>
        <xdr:cNvSpPr>
          <a:spLocks/>
        </xdr:cNvSpPr>
      </xdr:nvSpPr>
      <xdr:spPr>
        <a:xfrm>
          <a:off x="7543800" y="1619250"/>
          <a:ext cx="819150" cy="1419225"/>
        </a:xfrm>
        <a:custGeom>
          <a:pathLst>
            <a:path h="149" w="86">
              <a:moveTo>
                <a:pt x="0" y="82"/>
              </a:moveTo>
              <a:lnTo>
                <a:pt x="56" y="148"/>
              </a:lnTo>
              <a:lnTo>
                <a:pt x="85" y="67"/>
              </a:lnTo>
              <a:lnTo>
                <a:pt x="30" y="0"/>
              </a:lnTo>
              <a:lnTo>
                <a:pt x="0" y="8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9</xdr:row>
      <xdr:rowOff>57150</xdr:rowOff>
    </xdr:from>
    <xdr:to>
      <xdr:col>7</xdr:col>
      <xdr:colOff>466725</xdr:colOff>
      <xdr:row>17</xdr:row>
      <xdr:rowOff>28575</xdr:rowOff>
    </xdr:to>
    <xdr:sp>
      <xdr:nvSpPr>
        <xdr:cNvPr id="7" name="Polygon 416"/>
        <xdr:cNvSpPr>
          <a:spLocks/>
        </xdr:cNvSpPr>
      </xdr:nvSpPr>
      <xdr:spPr>
        <a:xfrm>
          <a:off x="5105400" y="2047875"/>
          <a:ext cx="819150" cy="1419225"/>
        </a:xfrm>
        <a:custGeom>
          <a:pathLst>
            <a:path h="149" w="86">
              <a:moveTo>
                <a:pt x="85" y="67"/>
              </a:moveTo>
              <a:lnTo>
                <a:pt x="30" y="0"/>
              </a:lnTo>
              <a:lnTo>
                <a:pt x="0" y="82"/>
              </a:lnTo>
              <a:lnTo>
                <a:pt x="56" y="148"/>
              </a:lnTo>
              <a:lnTo>
                <a:pt x="85" y="6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47625</xdr:rowOff>
    </xdr:from>
    <xdr:to>
      <xdr:col>10</xdr:col>
      <xdr:colOff>571500</xdr:colOff>
      <xdr:row>15</xdr:row>
      <xdr:rowOff>104775</xdr:rowOff>
    </xdr:to>
    <xdr:sp>
      <xdr:nvSpPr>
        <xdr:cNvPr id="8" name="Polygon 417"/>
        <xdr:cNvSpPr>
          <a:spLocks/>
        </xdr:cNvSpPr>
      </xdr:nvSpPr>
      <xdr:spPr>
        <a:xfrm>
          <a:off x="6734175" y="2400300"/>
          <a:ext cx="1352550" cy="781050"/>
        </a:xfrm>
        <a:custGeom>
          <a:pathLst>
            <a:path h="82" w="142">
              <a:moveTo>
                <a:pt x="0" y="15"/>
              </a:moveTo>
              <a:lnTo>
                <a:pt x="55" y="81"/>
              </a:lnTo>
              <a:lnTo>
                <a:pt x="141" y="66"/>
              </a:lnTo>
              <a:lnTo>
                <a:pt x="85" y="0"/>
              </a:lnTo>
              <a:lnTo>
                <a:pt x="0" y="1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9525</xdr:rowOff>
    </xdr:from>
    <xdr:to>
      <xdr:col>8</xdr:col>
      <xdr:colOff>600075</xdr:colOff>
      <xdr:row>17</xdr:row>
      <xdr:rowOff>28575</xdr:rowOff>
    </xdr:to>
    <xdr:sp>
      <xdr:nvSpPr>
        <xdr:cNvPr id="9" name="Polygon 418"/>
        <xdr:cNvSpPr>
          <a:spLocks/>
        </xdr:cNvSpPr>
      </xdr:nvSpPr>
      <xdr:spPr>
        <a:xfrm>
          <a:off x="5638800" y="2543175"/>
          <a:ext cx="1104900" cy="923925"/>
        </a:xfrm>
        <a:custGeom>
          <a:pathLst>
            <a:path h="97" w="116">
              <a:moveTo>
                <a:pt x="115" y="0"/>
              </a:moveTo>
              <a:lnTo>
                <a:pt x="29" y="15"/>
              </a:lnTo>
              <a:lnTo>
                <a:pt x="0" y="96"/>
              </a:lnTo>
              <a:lnTo>
                <a:pt x="85" y="81"/>
              </a:lnTo>
              <a:lnTo>
                <a:pt x="11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14</xdr:row>
      <xdr:rowOff>133350</xdr:rowOff>
    </xdr:from>
    <xdr:to>
      <xdr:col>10</xdr:col>
      <xdr:colOff>571500</xdr:colOff>
      <xdr:row>19</xdr:row>
      <xdr:rowOff>152400</xdr:rowOff>
    </xdr:to>
    <xdr:sp>
      <xdr:nvSpPr>
        <xdr:cNvPr id="10" name="Polygon 419"/>
        <xdr:cNvSpPr>
          <a:spLocks/>
        </xdr:cNvSpPr>
      </xdr:nvSpPr>
      <xdr:spPr>
        <a:xfrm>
          <a:off x="6981825" y="3028950"/>
          <a:ext cx="1104900" cy="923925"/>
        </a:xfrm>
        <a:custGeom>
          <a:pathLst>
            <a:path h="97" w="116">
              <a:moveTo>
                <a:pt x="29" y="15"/>
              </a:moveTo>
              <a:lnTo>
                <a:pt x="0" y="96"/>
              </a:lnTo>
              <a:lnTo>
                <a:pt x="85" y="81"/>
              </a:lnTo>
              <a:lnTo>
                <a:pt x="115" y="0"/>
              </a:lnTo>
              <a:lnTo>
                <a:pt x="29" y="1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57150</xdr:rowOff>
    </xdr:from>
    <xdr:to>
      <xdr:col>9</xdr:col>
      <xdr:colOff>161925</xdr:colOff>
      <xdr:row>20</xdr:row>
      <xdr:rowOff>123825</xdr:rowOff>
    </xdr:to>
    <xdr:sp>
      <xdr:nvSpPr>
        <xdr:cNvPr id="11" name="Polygon 420"/>
        <xdr:cNvSpPr>
          <a:spLocks/>
        </xdr:cNvSpPr>
      </xdr:nvSpPr>
      <xdr:spPr>
        <a:xfrm>
          <a:off x="5638800" y="3314700"/>
          <a:ext cx="1352550" cy="790575"/>
        </a:xfrm>
        <a:custGeom>
          <a:pathLst>
            <a:path h="83" w="142">
              <a:moveTo>
                <a:pt x="85" y="0"/>
              </a:moveTo>
              <a:lnTo>
                <a:pt x="0" y="15"/>
              </a:lnTo>
              <a:lnTo>
                <a:pt x="55" y="82"/>
              </a:lnTo>
              <a:lnTo>
                <a:pt x="141" y="66"/>
              </a:lnTo>
              <a:lnTo>
                <a:pt x="8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12</xdr:row>
      <xdr:rowOff>9525</xdr:rowOff>
    </xdr:from>
    <xdr:to>
      <xdr:col>9</xdr:col>
      <xdr:colOff>438150</xdr:colOff>
      <xdr:row>19</xdr:row>
      <xdr:rowOff>152400</xdr:rowOff>
    </xdr:to>
    <xdr:sp>
      <xdr:nvSpPr>
        <xdr:cNvPr id="12" name="Polygon 421"/>
        <xdr:cNvSpPr>
          <a:spLocks/>
        </xdr:cNvSpPr>
      </xdr:nvSpPr>
      <xdr:spPr>
        <a:xfrm>
          <a:off x="6448425" y="2543175"/>
          <a:ext cx="819150" cy="1409700"/>
        </a:xfrm>
        <a:custGeom>
          <a:pathLst>
            <a:path h="148" w="86">
              <a:moveTo>
                <a:pt x="30" y="0"/>
              </a:moveTo>
              <a:lnTo>
                <a:pt x="0" y="81"/>
              </a:lnTo>
              <a:lnTo>
                <a:pt x="56" y="147"/>
              </a:lnTo>
              <a:lnTo>
                <a:pt x="85" y="66"/>
              </a:lnTo>
              <a:lnTo>
                <a:pt x="3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600075</xdr:colOff>
      <xdr:row>12</xdr:row>
      <xdr:rowOff>9525</xdr:rowOff>
    </xdr:from>
    <xdr:ext cx="161925" cy="238125"/>
    <xdr:sp>
      <xdr:nvSpPr>
        <xdr:cNvPr id="13" name="TextBox 422"/>
        <xdr:cNvSpPr txBox="1">
          <a:spLocks noChangeArrowheads="1"/>
        </xdr:cNvSpPr>
      </xdr:nvSpPr>
      <xdr:spPr>
        <a:xfrm>
          <a:off x="6743700" y="2543175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152400</xdr:colOff>
      <xdr:row>19</xdr:row>
      <xdr:rowOff>142875</xdr:rowOff>
    </xdr:from>
    <xdr:ext cx="161925" cy="228600"/>
    <xdr:sp>
      <xdr:nvSpPr>
        <xdr:cNvPr id="14" name="TextBox 423"/>
        <xdr:cNvSpPr txBox="1">
          <a:spLocks noChangeArrowheads="1"/>
        </xdr:cNvSpPr>
      </xdr:nvSpPr>
      <xdr:spPr>
        <a:xfrm>
          <a:off x="6981825" y="39433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9</xdr:col>
      <xdr:colOff>428625</xdr:colOff>
      <xdr:row>15</xdr:row>
      <xdr:rowOff>104775</xdr:rowOff>
    </xdr:from>
    <xdr:ext cx="171450" cy="228600"/>
    <xdr:sp>
      <xdr:nvSpPr>
        <xdr:cNvPr id="15" name="TextBox 424"/>
        <xdr:cNvSpPr txBox="1">
          <a:spLocks noChangeArrowheads="1"/>
        </xdr:cNvSpPr>
      </xdr:nvSpPr>
      <xdr:spPr>
        <a:xfrm>
          <a:off x="7258050" y="3181350"/>
          <a:ext cx="1714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10</xdr:col>
      <xdr:colOff>561975</xdr:colOff>
      <xdr:row>14</xdr:row>
      <xdr:rowOff>142875</xdr:rowOff>
    </xdr:from>
    <xdr:ext cx="161925" cy="228600"/>
    <xdr:sp>
      <xdr:nvSpPr>
        <xdr:cNvPr id="16" name="TextBox 425"/>
        <xdr:cNvSpPr txBox="1">
          <a:spLocks noChangeArrowheads="1"/>
        </xdr:cNvSpPr>
      </xdr:nvSpPr>
      <xdr:spPr>
        <a:xfrm>
          <a:off x="8077200" y="303847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10</xdr:col>
      <xdr:colOff>28575</xdr:colOff>
      <xdr:row>11</xdr:row>
      <xdr:rowOff>47625</xdr:rowOff>
    </xdr:from>
    <xdr:ext cx="161925" cy="238125"/>
    <xdr:sp>
      <xdr:nvSpPr>
        <xdr:cNvPr id="17" name="TextBox 426"/>
        <xdr:cNvSpPr txBox="1">
          <a:spLocks noChangeArrowheads="1"/>
        </xdr:cNvSpPr>
      </xdr:nvSpPr>
      <xdr:spPr>
        <a:xfrm>
          <a:off x="7543800" y="2400300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10</xdr:col>
      <xdr:colOff>314325</xdr:colOff>
      <xdr:row>7</xdr:row>
      <xdr:rowOff>0</xdr:rowOff>
    </xdr:from>
    <xdr:ext cx="171450" cy="228600"/>
    <xdr:sp>
      <xdr:nvSpPr>
        <xdr:cNvPr id="18" name="TextBox 427"/>
        <xdr:cNvSpPr txBox="1">
          <a:spLocks noChangeArrowheads="1"/>
        </xdr:cNvSpPr>
      </xdr:nvSpPr>
      <xdr:spPr>
        <a:xfrm>
          <a:off x="7829550" y="1628775"/>
          <a:ext cx="1714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9</xdr:col>
      <xdr:colOff>180975</xdr:colOff>
      <xdr:row>7</xdr:row>
      <xdr:rowOff>142875</xdr:rowOff>
    </xdr:from>
    <xdr:ext cx="161925" cy="228600"/>
    <xdr:sp>
      <xdr:nvSpPr>
        <xdr:cNvPr id="19" name="TextBox 428"/>
        <xdr:cNvSpPr txBox="1">
          <a:spLocks noChangeArrowheads="1"/>
        </xdr:cNvSpPr>
      </xdr:nvSpPr>
      <xdr:spPr>
        <a:xfrm>
          <a:off x="7010400" y="17716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8</xdr:col>
      <xdr:colOff>342900</xdr:colOff>
      <xdr:row>4</xdr:row>
      <xdr:rowOff>66675</xdr:rowOff>
    </xdr:from>
    <xdr:ext cx="161925" cy="228600"/>
    <xdr:sp>
      <xdr:nvSpPr>
        <xdr:cNvPr id="20" name="TextBox 429"/>
        <xdr:cNvSpPr txBox="1">
          <a:spLocks noChangeArrowheads="1"/>
        </xdr:cNvSpPr>
      </xdr:nvSpPr>
      <xdr:spPr>
        <a:xfrm>
          <a:off x="6486525" y="114300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66675</xdr:colOff>
      <xdr:row>8</xdr:row>
      <xdr:rowOff>104775</xdr:rowOff>
    </xdr:from>
    <xdr:ext cx="161925" cy="228600"/>
    <xdr:sp>
      <xdr:nvSpPr>
        <xdr:cNvPr id="21" name="TextBox 430"/>
        <xdr:cNvSpPr txBox="1">
          <a:spLocks noChangeArrowheads="1"/>
        </xdr:cNvSpPr>
      </xdr:nvSpPr>
      <xdr:spPr>
        <a:xfrm>
          <a:off x="6210300" y="191452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6</xdr:col>
      <xdr:colOff>619125</xdr:colOff>
      <xdr:row>9</xdr:row>
      <xdr:rowOff>66675</xdr:rowOff>
    </xdr:from>
    <xdr:ext cx="247650" cy="228600"/>
    <xdr:sp>
      <xdr:nvSpPr>
        <xdr:cNvPr id="22" name="TextBox 431"/>
        <xdr:cNvSpPr txBox="1">
          <a:spLocks noChangeArrowheads="1"/>
        </xdr:cNvSpPr>
      </xdr:nvSpPr>
      <xdr:spPr>
        <a:xfrm>
          <a:off x="5391150" y="2057400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7</xdr:col>
      <xdr:colOff>457200</xdr:colOff>
      <xdr:row>12</xdr:row>
      <xdr:rowOff>152400</xdr:rowOff>
    </xdr:from>
    <xdr:ext cx="238125" cy="238125"/>
    <xdr:sp>
      <xdr:nvSpPr>
        <xdr:cNvPr id="23" name="TextBox 432"/>
        <xdr:cNvSpPr txBox="1">
          <a:spLocks noChangeArrowheads="1"/>
        </xdr:cNvSpPr>
      </xdr:nvSpPr>
      <xdr:spPr>
        <a:xfrm>
          <a:off x="5915025" y="2686050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7</xdr:col>
      <xdr:colOff>180975</xdr:colOff>
      <xdr:row>17</xdr:row>
      <xdr:rowOff>28575</xdr:rowOff>
    </xdr:from>
    <xdr:ext cx="238125" cy="228600"/>
    <xdr:sp>
      <xdr:nvSpPr>
        <xdr:cNvPr id="24" name="TextBox 433"/>
        <xdr:cNvSpPr txBox="1">
          <a:spLocks noChangeArrowheads="1"/>
        </xdr:cNvSpPr>
      </xdr:nvSpPr>
      <xdr:spPr>
        <a:xfrm>
          <a:off x="5638800" y="346710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8</xdr:col>
      <xdr:colOff>304800</xdr:colOff>
      <xdr:row>16</xdr:row>
      <xdr:rowOff>66675</xdr:rowOff>
    </xdr:from>
    <xdr:ext cx="238125" cy="228600"/>
    <xdr:sp>
      <xdr:nvSpPr>
        <xdr:cNvPr id="25" name="TextBox 434"/>
        <xdr:cNvSpPr txBox="1">
          <a:spLocks noChangeArrowheads="1"/>
        </xdr:cNvSpPr>
      </xdr:nvSpPr>
      <xdr:spPr>
        <a:xfrm>
          <a:off x="6448425" y="332422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10</xdr:col>
      <xdr:colOff>276225</xdr:colOff>
      <xdr:row>19</xdr:row>
      <xdr:rowOff>0</xdr:rowOff>
    </xdr:from>
    <xdr:ext cx="247650" cy="228600"/>
    <xdr:sp>
      <xdr:nvSpPr>
        <xdr:cNvPr id="26" name="TextBox 435"/>
        <xdr:cNvSpPr txBox="1">
          <a:spLocks noChangeArrowheads="1"/>
        </xdr:cNvSpPr>
      </xdr:nvSpPr>
      <xdr:spPr>
        <a:xfrm>
          <a:off x="7791450" y="3800475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11</xdr:col>
      <xdr:colOff>152400</xdr:colOff>
      <xdr:row>10</xdr:row>
      <xdr:rowOff>85725</xdr:rowOff>
    </xdr:from>
    <xdr:ext cx="238125" cy="238125"/>
    <xdr:sp>
      <xdr:nvSpPr>
        <xdr:cNvPr id="27" name="TextBox 436"/>
        <xdr:cNvSpPr txBox="1">
          <a:spLocks noChangeArrowheads="1"/>
        </xdr:cNvSpPr>
      </xdr:nvSpPr>
      <xdr:spPr>
        <a:xfrm>
          <a:off x="8353425" y="2257425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9</xdr:col>
      <xdr:colOff>466725</xdr:colOff>
      <xdr:row>3</xdr:row>
      <xdr:rowOff>104775</xdr:rowOff>
    </xdr:from>
    <xdr:ext cx="247650" cy="228600"/>
    <xdr:sp>
      <xdr:nvSpPr>
        <xdr:cNvPr id="28" name="TextBox 437"/>
        <xdr:cNvSpPr txBox="1">
          <a:spLocks noChangeArrowheads="1"/>
        </xdr:cNvSpPr>
      </xdr:nvSpPr>
      <xdr:spPr>
        <a:xfrm>
          <a:off x="7296150" y="1000125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7</xdr:col>
      <xdr:colOff>219075</xdr:colOff>
      <xdr:row>5</xdr:row>
      <xdr:rowOff>9525</xdr:rowOff>
    </xdr:from>
    <xdr:ext cx="238125" cy="238125"/>
    <xdr:sp>
      <xdr:nvSpPr>
        <xdr:cNvPr id="29" name="TextBox 438"/>
        <xdr:cNvSpPr txBox="1">
          <a:spLocks noChangeArrowheads="1"/>
        </xdr:cNvSpPr>
      </xdr:nvSpPr>
      <xdr:spPr>
        <a:xfrm>
          <a:off x="5676900" y="1276350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6</xdr:col>
      <xdr:colOff>333375</xdr:colOff>
      <xdr:row>13</xdr:row>
      <xdr:rowOff>114300</xdr:rowOff>
    </xdr:from>
    <xdr:ext cx="238125" cy="228600"/>
    <xdr:sp>
      <xdr:nvSpPr>
        <xdr:cNvPr id="30" name="TextBox 439"/>
        <xdr:cNvSpPr txBox="1">
          <a:spLocks noChangeArrowheads="1"/>
        </xdr:cNvSpPr>
      </xdr:nvSpPr>
      <xdr:spPr>
        <a:xfrm>
          <a:off x="5105400" y="282892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8</xdr:col>
      <xdr:colOff>28575</xdr:colOff>
      <xdr:row>20</xdr:row>
      <xdr:rowOff>114300</xdr:rowOff>
    </xdr:from>
    <xdr:ext cx="238125" cy="228600"/>
    <xdr:sp>
      <xdr:nvSpPr>
        <xdr:cNvPr id="31" name="TextBox 440"/>
        <xdr:cNvSpPr txBox="1">
          <a:spLocks noChangeArrowheads="1"/>
        </xdr:cNvSpPr>
      </xdr:nvSpPr>
      <xdr:spPr>
        <a:xfrm>
          <a:off x="6172200" y="409575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twoCellAnchor>
    <xdr:from>
      <xdr:col>8</xdr:col>
      <xdr:colOff>57150</xdr:colOff>
      <xdr:row>22</xdr:row>
      <xdr:rowOff>104775</xdr:rowOff>
    </xdr:from>
    <xdr:to>
      <xdr:col>9</xdr:col>
      <xdr:colOff>190500</xdr:colOff>
      <xdr:row>27</xdr:row>
      <xdr:rowOff>28575</xdr:rowOff>
    </xdr:to>
    <xdr:sp>
      <xdr:nvSpPr>
        <xdr:cNvPr id="32" name="Polygon 441"/>
        <xdr:cNvSpPr>
          <a:spLocks/>
        </xdr:cNvSpPr>
      </xdr:nvSpPr>
      <xdr:spPr>
        <a:xfrm>
          <a:off x="6200775" y="4448175"/>
          <a:ext cx="819150" cy="828675"/>
        </a:xfrm>
        <a:custGeom>
          <a:pathLst>
            <a:path h="87" w="86">
              <a:moveTo>
                <a:pt x="56" y="0"/>
              </a:moveTo>
              <a:lnTo>
                <a:pt x="85" y="43"/>
              </a:lnTo>
              <a:lnTo>
                <a:pt x="30" y="86"/>
              </a:lnTo>
              <a:lnTo>
                <a:pt x="0" y="43"/>
              </a:lnTo>
              <a:lnTo>
                <a:pt x="56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24</xdr:row>
      <xdr:rowOff>152400</xdr:rowOff>
    </xdr:from>
    <xdr:to>
      <xdr:col>10</xdr:col>
      <xdr:colOff>323850</xdr:colOff>
      <xdr:row>29</xdr:row>
      <xdr:rowOff>85725</xdr:rowOff>
    </xdr:to>
    <xdr:sp>
      <xdr:nvSpPr>
        <xdr:cNvPr id="33" name="Polygon 442"/>
        <xdr:cNvSpPr>
          <a:spLocks/>
        </xdr:cNvSpPr>
      </xdr:nvSpPr>
      <xdr:spPr>
        <a:xfrm>
          <a:off x="6486525" y="4857750"/>
          <a:ext cx="1352550" cy="838200"/>
        </a:xfrm>
        <a:custGeom>
          <a:pathLst>
            <a:path h="88" w="142">
              <a:moveTo>
                <a:pt x="55" y="0"/>
              </a:moveTo>
              <a:lnTo>
                <a:pt x="141" y="43"/>
              </a:lnTo>
              <a:lnTo>
                <a:pt x="85" y="87"/>
              </a:lnTo>
              <a:lnTo>
                <a:pt x="0" y="43"/>
              </a:lnTo>
              <a:lnTo>
                <a:pt x="5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24</xdr:row>
      <xdr:rowOff>152400</xdr:rowOff>
    </xdr:from>
    <xdr:to>
      <xdr:col>8</xdr:col>
      <xdr:colOff>352425</xdr:colOff>
      <xdr:row>29</xdr:row>
      <xdr:rowOff>85725</xdr:rowOff>
    </xdr:to>
    <xdr:sp>
      <xdr:nvSpPr>
        <xdr:cNvPr id="34" name="Polygon 443"/>
        <xdr:cNvSpPr>
          <a:spLocks/>
        </xdr:cNvSpPr>
      </xdr:nvSpPr>
      <xdr:spPr>
        <a:xfrm>
          <a:off x="5391150" y="4857750"/>
          <a:ext cx="1104900" cy="838200"/>
        </a:xfrm>
        <a:custGeom>
          <a:pathLst>
            <a:path h="88" w="116">
              <a:moveTo>
                <a:pt x="85" y="0"/>
              </a:moveTo>
              <a:lnTo>
                <a:pt x="115" y="43"/>
              </a:lnTo>
              <a:lnTo>
                <a:pt x="29" y="87"/>
              </a:lnTo>
              <a:lnTo>
                <a:pt x="0" y="43"/>
              </a:lnTo>
              <a:lnTo>
                <a:pt x="8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104775</xdr:rowOff>
    </xdr:from>
    <xdr:to>
      <xdr:col>10</xdr:col>
      <xdr:colOff>323850</xdr:colOff>
      <xdr:row>27</xdr:row>
      <xdr:rowOff>28575</xdr:rowOff>
    </xdr:to>
    <xdr:sp>
      <xdr:nvSpPr>
        <xdr:cNvPr id="35" name="Polygon 444"/>
        <xdr:cNvSpPr>
          <a:spLocks/>
        </xdr:cNvSpPr>
      </xdr:nvSpPr>
      <xdr:spPr>
        <a:xfrm>
          <a:off x="6734175" y="4448175"/>
          <a:ext cx="1104900" cy="828675"/>
        </a:xfrm>
        <a:custGeom>
          <a:pathLst>
            <a:path h="87" w="116">
              <a:moveTo>
                <a:pt x="0" y="0"/>
              </a:moveTo>
              <a:lnTo>
                <a:pt x="85" y="43"/>
              </a:lnTo>
              <a:lnTo>
                <a:pt x="115" y="86"/>
              </a:lnTo>
              <a:lnTo>
                <a:pt x="29" y="4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22</xdr:row>
      <xdr:rowOff>104775</xdr:rowOff>
    </xdr:from>
    <xdr:to>
      <xdr:col>8</xdr:col>
      <xdr:colOff>600075</xdr:colOff>
      <xdr:row>27</xdr:row>
      <xdr:rowOff>28575</xdr:rowOff>
    </xdr:to>
    <xdr:sp>
      <xdr:nvSpPr>
        <xdr:cNvPr id="36" name="Polygon 445"/>
        <xdr:cNvSpPr>
          <a:spLocks/>
        </xdr:cNvSpPr>
      </xdr:nvSpPr>
      <xdr:spPr>
        <a:xfrm>
          <a:off x="5391150" y="4448175"/>
          <a:ext cx="1352550" cy="828675"/>
        </a:xfrm>
        <a:custGeom>
          <a:pathLst>
            <a:path h="87" w="142">
              <a:moveTo>
                <a:pt x="141" y="0"/>
              </a:moveTo>
              <a:lnTo>
                <a:pt x="85" y="43"/>
              </a:lnTo>
              <a:lnTo>
                <a:pt x="0" y="86"/>
              </a:lnTo>
              <a:lnTo>
                <a:pt x="55" y="43"/>
              </a:lnTo>
              <a:lnTo>
                <a:pt x="141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24</xdr:row>
      <xdr:rowOff>152400</xdr:rowOff>
    </xdr:from>
    <xdr:to>
      <xdr:col>11</xdr:col>
      <xdr:colOff>161925</xdr:colOff>
      <xdr:row>29</xdr:row>
      <xdr:rowOff>85725</xdr:rowOff>
    </xdr:to>
    <xdr:sp>
      <xdr:nvSpPr>
        <xdr:cNvPr id="37" name="Polygon 446"/>
        <xdr:cNvSpPr>
          <a:spLocks/>
        </xdr:cNvSpPr>
      </xdr:nvSpPr>
      <xdr:spPr>
        <a:xfrm>
          <a:off x="7543800" y="4857750"/>
          <a:ext cx="819150" cy="838200"/>
        </a:xfrm>
        <a:custGeom>
          <a:pathLst>
            <a:path h="88" w="86">
              <a:moveTo>
                <a:pt x="0" y="0"/>
              </a:moveTo>
              <a:lnTo>
                <a:pt x="56" y="43"/>
              </a:lnTo>
              <a:lnTo>
                <a:pt x="85" y="87"/>
              </a:lnTo>
              <a:lnTo>
                <a:pt x="30" y="4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24</xdr:row>
      <xdr:rowOff>152400</xdr:rowOff>
    </xdr:from>
    <xdr:to>
      <xdr:col>7</xdr:col>
      <xdr:colOff>466725</xdr:colOff>
      <xdr:row>29</xdr:row>
      <xdr:rowOff>85725</xdr:rowOff>
    </xdr:to>
    <xdr:sp>
      <xdr:nvSpPr>
        <xdr:cNvPr id="38" name="Polygon 447"/>
        <xdr:cNvSpPr>
          <a:spLocks/>
        </xdr:cNvSpPr>
      </xdr:nvSpPr>
      <xdr:spPr>
        <a:xfrm>
          <a:off x="5105400" y="4857750"/>
          <a:ext cx="819150" cy="838200"/>
        </a:xfrm>
        <a:custGeom>
          <a:pathLst>
            <a:path h="88" w="86">
              <a:moveTo>
                <a:pt x="85" y="0"/>
              </a:moveTo>
              <a:lnTo>
                <a:pt x="30" y="43"/>
              </a:lnTo>
              <a:lnTo>
                <a:pt x="0" y="87"/>
              </a:lnTo>
              <a:lnTo>
                <a:pt x="56" y="43"/>
              </a:lnTo>
              <a:lnTo>
                <a:pt x="8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104775</xdr:rowOff>
    </xdr:from>
    <xdr:to>
      <xdr:col>10</xdr:col>
      <xdr:colOff>571500</xdr:colOff>
      <xdr:row>27</xdr:row>
      <xdr:rowOff>28575</xdr:rowOff>
    </xdr:to>
    <xdr:sp>
      <xdr:nvSpPr>
        <xdr:cNvPr id="39" name="Polygon 448"/>
        <xdr:cNvSpPr>
          <a:spLocks/>
        </xdr:cNvSpPr>
      </xdr:nvSpPr>
      <xdr:spPr>
        <a:xfrm>
          <a:off x="6734175" y="4448175"/>
          <a:ext cx="1352550" cy="828675"/>
        </a:xfrm>
        <a:custGeom>
          <a:pathLst>
            <a:path h="87" w="142">
              <a:moveTo>
                <a:pt x="0" y="0"/>
              </a:moveTo>
              <a:lnTo>
                <a:pt x="55" y="43"/>
              </a:lnTo>
              <a:lnTo>
                <a:pt x="141" y="86"/>
              </a:lnTo>
              <a:lnTo>
                <a:pt x="85" y="4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104775</xdr:rowOff>
    </xdr:from>
    <xdr:to>
      <xdr:col>8</xdr:col>
      <xdr:colOff>600075</xdr:colOff>
      <xdr:row>27</xdr:row>
      <xdr:rowOff>28575</xdr:rowOff>
    </xdr:to>
    <xdr:sp>
      <xdr:nvSpPr>
        <xdr:cNvPr id="40" name="Polygon 449"/>
        <xdr:cNvSpPr>
          <a:spLocks/>
        </xdr:cNvSpPr>
      </xdr:nvSpPr>
      <xdr:spPr>
        <a:xfrm>
          <a:off x="5638800" y="4448175"/>
          <a:ext cx="1104900" cy="828675"/>
        </a:xfrm>
        <a:custGeom>
          <a:pathLst>
            <a:path h="87" w="116">
              <a:moveTo>
                <a:pt x="115" y="0"/>
              </a:moveTo>
              <a:lnTo>
                <a:pt x="29" y="43"/>
              </a:lnTo>
              <a:lnTo>
                <a:pt x="0" y="86"/>
              </a:lnTo>
              <a:lnTo>
                <a:pt x="85" y="43"/>
              </a:lnTo>
              <a:lnTo>
                <a:pt x="11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152400</xdr:rowOff>
    </xdr:from>
    <xdr:to>
      <xdr:col>10</xdr:col>
      <xdr:colOff>571500</xdr:colOff>
      <xdr:row>29</xdr:row>
      <xdr:rowOff>85725</xdr:rowOff>
    </xdr:to>
    <xdr:sp>
      <xdr:nvSpPr>
        <xdr:cNvPr id="41" name="Polygon 450"/>
        <xdr:cNvSpPr>
          <a:spLocks/>
        </xdr:cNvSpPr>
      </xdr:nvSpPr>
      <xdr:spPr>
        <a:xfrm>
          <a:off x="6981825" y="4857750"/>
          <a:ext cx="1104900" cy="838200"/>
        </a:xfrm>
        <a:custGeom>
          <a:pathLst>
            <a:path h="88" w="116">
              <a:moveTo>
                <a:pt x="29" y="0"/>
              </a:moveTo>
              <a:lnTo>
                <a:pt x="0" y="43"/>
              </a:lnTo>
              <a:lnTo>
                <a:pt x="85" y="87"/>
              </a:lnTo>
              <a:lnTo>
                <a:pt x="115" y="43"/>
              </a:lnTo>
              <a:lnTo>
                <a:pt x="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24</xdr:row>
      <xdr:rowOff>152400</xdr:rowOff>
    </xdr:from>
    <xdr:to>
      <xdr:col>9</xdr:col>
      <xdr:colOff>161925</xdr:colOff>
      <xdr:row>29</xdr:row>
      <xdr:rowOff>85725</xdr:rowOff>
    </xdr:to>
    <xdr:sp>
      <xdr:nvSpPr>
        <xdr:cNvPr id="42" name="Polygon 451"/>
        <xdr:cNvSpPr>
          <a:spLocks/>
        </xdr:cNvSpPr>
      </xdr:nvSpPr>
      <xdr:spPr>
        <a:xfrm>
          <a:off x="5638800" y="4857750"/>
          <a:ext cx="1352550" cy="838200"/>
        </a:xfrm>
        <a:custGeom>
          <a:pathLst>
            <a:path h="88" w="142">
              <a:moveTo>
                <a:pt x="85" y="0"/>
              </a:moveTo>
              <a:lnTo>
                <a:pt x="0" y="43"/>
              </a:lnTo>
              <a:lnTo>
                <a:pt x="55" y="87"/>
              </a:lnTo>
              <a:lnTo>
                <a:pt x="141" y="43"/>
              </a:lnTo>
              <a:lnTo>
                <a:pt x="8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22</xdr:row>
      <xdr:rowOff>104775</xdr:rowOff>
    </xdr:from>
    <xdr:to>
      <xdr:col>9</xdr:col>
      <xdr:colOff>438150</xdr:colOff>
      <xdr:row>27</xdr:row>
      <xdr:rowOff>28575</xdr:rowOff>
    </xdr:to>
    <xdr:sp>
      <xdr:nvSpPr>
        <xdr:cNvPr id="43" name="Polygon 452"/>
        <xdr:cNvSpPr>
          <a:spLocks/>
        </xdr:cNvSpPr>
      </xdr:nvSpPr>
      <xdr:spPr>
        <a:xfrm>
          <a:off x="6448425" y="4448175"/>
          <a:ext cx="819150" cy="828675"/>
        </a:xfrm>
        <a:custGeom>
          <a:pathLst>
            <a:path h="87" w="86">
              <a:moveTo>
                <a:pt x="30" y="0"/>
              </a:moveTo>
              <a:lnTo>
                <a:pt x="0" y="43"/>
              </a:lnTo>
              <a:lnTo>
                <a:pt x="56" y="86"/>
              </a:lnTo>
              <a:lnTo>
                <a:pt x="85" y="43"/>
              </a:lnTo>
              <a:lnTo>
                <a:pt x="3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104775</xdr:rowOff>
    </xdr:from>
    <xdr:to>
      <xdr:col>9</xdr:col>
      <xdr:colOff>104775</xdr:colOff>
      <xdr:row>11</xdr:row>
      <xdr:rowOff>0</xdr:rowOff>
    </xdr:to>
    <xdr:sp>
      <xdr:nvSpPr>
        <xdr:cNvPr id="1" name="Polygon 933"/>
        <xdr:cNvSpPr>
          <a:spLocks/>
        </xdr:cNvSpPr>
      </xdr:nvSpPr>
      <xdr:spPr>
        <a:xfrm>
          <a:off x="5457825" y="1733550"/>
          <a:ext cx="1476375" cy="619125"/>
        </a:xfrm>
        <a:custGeom>
          <a:pathLst>
            <a:path h="65" w="155">
              <a:moveTo>
                <a:pt x="80" y="64"/>
              </a:moveTo>
              <a:lnTo>
                <a:pt x="154" y="25"/>
              </a:lnTo>
              <a:lnTo>
                <a:pt x="75" y="0"/>
              </a:lnTo>
              <a:lnTo>
                <a:pt x="0" y="39"/>
              </a:lnTo>
              <a:lnTo>
                <a:pt x="80" y="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123825</xdr:rowOff>
    </xdr:from>
    <xdr:to>
      <xdr:col>9</xdr:col>
      <xdr:colOff>104775</xdr:colOff>
      <xdr:row>44</xdr:row>
      <xdr:rowOff>152400</xdr:rowOff>
    </xdr:to>
    <xdr:sp>
      <xdr:nvSpPr>
        <xdr:cNvPr id="2" name="Polygon 934"/>
        <xdr:cNvSpPr>
          <a:spLocks/>
        </xdr:cNvSpPr>
      </xdr:nvSpPr>
      <xdr:spPr>
        <a:xfrm>
          <a:off x="5457825" y="7724775"/>
          <a:ext cx="1476375" cy="752475"/>
        </a:xfrm>
        <a:custGeom>
          <a:pathLst>
            <a:path h="79" w="155">
              <a:moveTo>
                <a:pt x="80" y="0"/>
              </a:moveTo>
              <a:lnTo>
                <a:pt x="154" y="39"/>
              </a:lnTo>
              <a:lnTo>
                <a:pt x="75" y="78"/>
              </a:lnTo>
              <a:lnTo>
                <a:pt x="0" y="39"/>
              </a:lnTo>
              <a:lnTo>
                <a:pt x="8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114300</xdr:rowOff>
    </xdr:from>
    <xdr:to>
      <xdr:col>8</xdr:col>
      <xdr:colOff>85725</xdr:colOff>
      <xdr:row>15</xdr:row>
      <xdr:rowOff>38100</xdr:rowOff>
    </xdr:to>
    <xdr:sp>
      <xdr:nvSpPr>
        <xdr:cNvPr id="3" name="Polygon 935"/>
        <xdr:cNvSpPr>
          <a:spLocks/>
        </xdr:cNvSpPr>
      </xdr:nvSpPr>
      <xdr:spPr>
        <a:xfrm>
          <a:off x="5219700" y="2105025"/>
          <a:ext cx="1009650" cy="1009650"/>
        </a:xfrm>
        <a:custGeom>
          <a:pathLst>
            <a:path h="106" w="106">
              <a:moveTo>
                <a:pt x="80" y="105"/>
              </a:moveTo>
              <a:lnTo>
                <a:pt x="105" y="25"/>
              </a:lnTo>
              <a:lnTo>
                <a:pt x="25" y="0"/>
              </a:lnTo>
              <a:lnTo>
                <a:pt x="0" y="79"/>
              </a:lnTo>
              <a:lnTo>
                <a:pt x="80" y="10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38</xdr:row>
      <xdr:rowOff>114300</xdr:rowOff>
    </xdr:from>
    <xdr:to>
      <xdr:col>8</xdr:col>
      <xdr:colOff>85725</xdr:colOff>
      <xdr:row>42</xdr:row>
      <xdr:rowOff>142875</xdr:rowOff>
    </xdr:to>
    <xdr:sp>
      <xdr:nvSpPr>
        <xdr:cNvPr id="4" name="Polygon 936"/>
        <xdr:cNvSpPr>
          <a:spLocks/>
        </xdr:cNvSpPr>
      </xdr:nvSpPr>
      <xdr:spPr>
        <a:xfrm>
          <a:off x="5219700" y="7353300"/>
          <a:ext cx="1009650" cy="752475"/>
        </a:xfrm>
        <a:custGeom>
          <a:pathLst>
            <a:path h="79" w="106">
              <a:moveTo>
                <a:pt x="80" y="0"/>
              </a:moveTo>
              <a:lnTo>
                <a:pt x="105" y="39"/>
              </a:lnTo>
              <a:lnTo>
                <a:pt x="25" y="78"/>
              </a:lnTo>
              <a:lnTo>
                <a:pt x="0" y="39"/>
              </a:lnTo>
              <a:lnTo>
                <a:pt x="8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161925</xdr:rowOff>
    </xdr:from>
    <xdr:to>
      <xdr:col>9</xdr:col>
      <xdr:colOff>476250</xdr:colOff>
      <xdr:row>14</xdr:row>
      <xdr:rowOff>161925</xdr:rowOff>
    </xdr:to>
    <xdr:sp>
      <xdr:nvSpPr>
        <xdr:cNvPr id="5" name="Polygon 937"/>
        <xdr:cNvSpPr>
          <a:spLocks/>
        </xdr:cNvSpPr>
      </xdr:nvSpPr>
      <xdr:spPr>
        <a:xfrm>
          <a:off x="6219825" y="1971675"/>
          <a:ext cx="1085850" cy="1085850"/>
        </a:xfrm>
        <a:custGeom>
          <a:pathLst>
            <a:path h="114" w="114">
              <a:moveTo>
                <a:pt x="39" y="113"/>
              </a:moveTo>
              <a:lnTo>
                <a:pt x="113" y="74"/>
              </a:lnTo>
              <a:lnTo>
                <a:pt x="74" y="0"/>
              </a:lnTo>
              <a:lnTo>
                <a:pt x="0" y="39"/>
              </a:lnTo>
              <a:lnTo>
                <a:pt x="39" y="11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114300</xdr:rowOff>
    </xdr:from>
    <xdr:to>
      <xdr:col>9</xdr:col>
      <xdr:colOff>476250</xdr:colOff>
      <xdr:row>42</xdr:row>
      <xdr:rowOff>142875</xdr:rowOff>
    </xdr:to>
    <xdr:sp>
      <xdr:nvSpPr>
        <xdr:cNvPr id="6" name="Polygon 938"/>
        <xdr:cNvSpPr>
          <a:spLocks/>
        </xdr:cNvSpPr>
      </xdr:nvSpPr>
      <xdr:spPr>
        <a:xfrm>
          <a:off x="6219825" y="7353300"/>
          <a:ext cx="1085850" cy="752475"/>
        </a:xfrm>
        <a:custGeom>
          <a:pathLst>
            <a:path h="79" w="114">
              <a:moveTo>
                <a:pt x="39" y="0"/>
              </a:moveTo>
              <a:lnTo>
                <a:pt x="113" y="39"/>
              </a:lnTo>
              <a:lnTo>
                <a:pt x="74" y="78"/>
              </a:lnTo>
              <a:lnTo>
                <a:pt x="0" y="39"/>
              </a:lnTo>
              <a:lnTo>
                <a:pt x="3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114300</xdr:rowOff>
    </xdr:from>
    <xdr:to>
      <xdr:col>7</xdr:col>
      <xdr:colOff>9525</xdr:colOff>
      <xdr:row>15</xdr:row>
      <xdr:rowOff>161925</xdr:rowOff>
    </xdr:to>
    <xdr:sp>
      <xdr:nvSpPr>
        <xdr:cNvPr id="7" name="Polygon 939"/>
        <xdr:cNvSpPr>
          <a:spLocks/>
        </xdr:cNvSpPr>
      </xdr:nvSpPr>
      <xdr:spPr>
        <a:xfrm>
          <a:off x="4514850" y="2105025"/>
          <a:ext cx="952500" cy="1133475"/>
        </a:xfrm>
        <a:custGeom>
          <a:pathLst>
            <a:path h="119" w="100">
              <a:moveTo>
                <a:pt x="74" y="79"/>
              </a:moveTo>
              <a:lnTo>
                <a:pt x="99" y="0"/>
              </a:lnTo>
              <a:lnTo>
                <a:pt x="25" y="38"/>
              </a:lnTo>
              <a:lnTo>
                <a:pt x="0" y="118"/>
              </a:lnTo>
              <a:lnTo>
                <a:pt x="74" y="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40</xdr:row>
      <xdr:rowOff>123825</xdr:rowOff>
    </xdr:from>
    <xdr:to>
      <xdr:col>7</xdr:col>
      <xdr:colOff>9525</xdr:colOff>
      <xdr:row>44</xdr:row>
      <xdr:rowOff>152400</xdr:rowOff>
    </xdr:to>
    <xdr:sp>
      <xdr:nvSpPr>
        <xdr:cNvPr id="8" name="Polygon 940"/>
        <xdr:cNvSpPr>
          <a:spLocks/>
        </xdr:cNvSpPr>
      </xdr:nvSpPr>
      <xdr:spPr>
        <a:xfrm>
          <a:off x="4514850" y="7724775"/>
          <a:ext cx="952500" cy="752475"/>
        </a:xfrm>
        <a:custGeom>
          <a:pathLst>
            <a:path h="79" w="100">
              <a:moveTo>
                <a:pt x="74" y="0"/>
              </a:moveTo>
              <a:lnTo>
                <a:pt x="99" y="39"/>
              </a:lnTo>
              <a:lnTo>
                <a:pt x="25" y="78"/>
              </a:lnTo>
              <a:lnTo>
                <a:pt x="0" y="39"/>
              </a:lnTo>
              <a:lnTo>
                <a:pt x="7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8</xdr:row>
      <xdr:rowOff>161925</xdr:rowOff>
    </xdr:from>
    <xdr:to>
      <xdr:col>10</xdr:col>
      <xdr:colOff>552450</xdr:colOff>
      <xdr:row>14</xdr:row>
      <xdr:rowOff>38100</xdr:rowOff>
    </xdr:to>
    <xdr:sp>
      <xdr:nvSpPr>
        <xdr:cNvPr id="9" name="Polygon 941"/>
        <xdr:cNvSpPr>
          <a:spLocks/>
        </xdr:cNvSpPr>
      </xdr:nvSpPr>
      <xdr:spPr>
        <a:xfrm>
          <a:off x="6924675" y="1971675"/>
          <a:ext cx="1143000" cy="962025"/>
        </a:xfrm>
        <a:custGeom>
          <a:pathLst>
            <a:path h="101" w="120">
              <a:moveTo>
                <a:pt x="39" y="74"/>
              </a:moveTo>
              <a:lnTo>
                <a:pt x="119" y="100"/>
              </a:lnTo>
              <a:lnTo>
                <a:pt x="80" y="25"/>
              </a:lnTo>
              <a:lnTo>
                <a:pt x="0" y="0"/>
              </a:lnTo>
              <a:lnTo>
                <a:pt x="39" y="7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40</xdr:row>
      <xdr:rowOff>123825</xdr:rowOff>
    </xdr:from>
    <xdr:to>
      <xdr:col>10</xdr:col>
      <xdr:colOff>552450</xdr:colOff>
      <xdr:row>44</xdr:row>
      <xdr:rowOff>152400</xdr:rowOff>
    </xdr:to>
    <xdr:sp>
      <xdr:nvSpPr>
        <xdr:cNvPr id="10" name="Polygon 942"/>
        <xdr:cNvSpPr>
          <a:spLocks/>
        </xdr:cNvSpPr>
      </xdr:nvSpPr>
      <xdr:spPr>
        <a:xfrm>
          <a:off x="6924675" y="7724775"/>
          <a:ext cx="1143000" cy="752475"/>
        </a:xfrm>
        <a:custGeom>
          <a:pathLst>
            <a:path h="79" w="120">
              <a:moveTo>
                <a:pt x="39" y="0"/>
              </a:moveTo>
              <a:lnTo>
                <a:pt x="119" y="39"/>
              </a:lnTo>
              <a:lnTo>
                <a:pt x="80" y="78"/>
              </a:lnTo>
              <a:lnTo>
                <a:pt x="0" y="39"/>
              </a:lnTo>
              <a:lnTo>
                <a:pt x="3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10</xdr:row>
      <xdr:rowOff>171450</xdr:rowOff>
    </xdr:from>
    <xdr:to>
      <xdr:col>8</xdr:col>
      <xdr:colOff>457200</xdr:colOff>
      <xdr:row>19</xdr:row>
      <xdr:rowOff>19050</xdr:rowOff>
    </xdr:to>
    <xdr:sp>
      <xdr:nvSpPr>
        <xdr:cNvPr id="11" name="Polygon 943"/>
        <xdr:cNvSpPr>
          <a:spLocks/>
        </xdr:cNvSpPr>
      </xdr:nvSpPr>
      <xdr:spPr>
        <a:xfrm>
          <a:off x="5981700" y="2343150"/>
          <a:ext cx="619125" cy="1476375"/>
        </a:xfrm>
        <a:custGeom>
          <a:pathLst>
            <a:path h="155" w="65">
              <a:moveTo>
                <a:pt x="39" y="154"/>
              </a:moveTo>
              <a:lnTo>
                <a:pt x="64" y="74"/>
              </a:lnTo>
              <a:lnTo>
                <a:pt x="25" y="0"/>
              </a:lnTo>
              <a:lnTo>
                <a:pt x="0" y="80"/>
              </a:lnTo>
              <a:lnTo>
                <a:pt x="39" y="15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36</xdr:row>
      <xdr:rowOff>104775</xdr:rowOff>
    </xdr:from>
    <xdr:to>
      <xdr:col>8</xdr:col>
      <xdr:colOff>457200</xdr:colOff>
      <xdr:row>40</xdr:row>
      <xdr:rowOff>133350</xdr:rowOff>
    </xdr:to>
    <xdr:sp>
      <xdr:nvSpPr>
        <xdr:cNvPr id="12" name="Polygon 944"/>
        <xdr:cNvSpPr>
          <a:spLocks/>
        </xdr:cNvSpPr>
      </xdr:nvSpPr>
      <xdr:spPr>
        <a:xfrm>
          <a:off x="5981700" y="6981825"/>
          <a:ext cx="619125" cy="752475"/>
        </a:xfrm>
        <a:custGeom>
          <a:pathLst>
            <a:path h="79" w="65">
              <a:moveTo>
                <a:pt x="39" y="0"/>
              </a:moveTo>
              <a:lnTo>
                <a:pt x="64" y="39"/>
              </a:lnTo>
              <a:lnTo>
                <a:pt x="25" y="78"/>
              </a:lnTo>
              <a:lnTo>
                <a:pt x="0" y="39"/>
              </a:lnTo>
              <a:lnTo>
                <a:pt x="3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142875</xdr:rowOff>
    </xdr:from>
    <xdr:to>
      <xdr:col>8</xdr:col>
      <xdr:colOff>219075</xdr:colOff>
      <xdr:row>19</xdr:row>
      <xdr:rowOff>19050</xdr:rowOff>
    </xdr:to>
    <xdr:sp>
      <xdr:nvSpPr>
        <xdr:cNvPr id="13" name="Polygon 945"/>
        <xdr:cNvSpPr>
          <a:spLocks/>
        </xdr:cNvSpPr>
      </xdr:nvSpPr>
      <xdr:spPr>
        <a:xfrm>
          <a:off x="5219700" y="2857500"/>
          <a:ext cx="1143000" cy="962025"/>
        </a:xfrm>
        <a:custGeom>
          <a:pathLst>
            <a:path h="101" w="120">
              <a:moveTo>
                <a:pt x="119" y="100"/>
              </a:moveTo>
              <a:lnTo>
                <a:pt x="80" y="26"/>
              </a:lnTo>
              <a:lnTo>
                <a:pt x="0" y="0"/>
              </a:lnTo>
              <a:lnTo>
                <a:pt x="39" y="75"/>
              </a:lnTo>
              <a:lnTo>
                <a:pt x="119" y="1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36</xdr:row>
      <xdr:rowOff>104775</xdr:rowOff>
    </xdr:from>
    <xdr:to>
      <xdr:col>8</xdr:col>
      <xdr:colOff>219075</xdr:colOff>
      <xdr:row>40</xdr:row>
      <xdr:rowOff>133350</xdr:rowOff>
    </xdr:to>
    <xdr:sp>
      <xdr:nvSpPr>
        <xdr:cNvPr id="14" name="Polygon 946"/>
        <xdr:cNvSpPr>
          <a:spLocks/>
        </xdr:cNvSpPr>
      </xdr:nvSpPr>
      <xdr:spPr>
        <a:xfrm>
          <a:off x="5219700" y="6981825"/>
          <a:ext cx="1143000" cy="752475"/>
        </a:xfrm>
        <a:custGeom>
          <a:pathLst>
            <a:path h="79" w="120">
              <a:moveTo>
                <a:pt x="119" y="0"/>
              </a:moveTo>
              <a:lnTo>
                <a:pt x="80" y="39"/>
              </a:lnTo>
              <a:lnTo>
                <a:pt x="0" y="78"/>
              </a:lnTo>
              <a:lnTo>
                <a:pt x="39" y="39"/>
              </a:lnTo>
              <a:lnTo>
                <a:pt x="11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12</xdr:row>
      <xdr:rowOff>142875</xdr:rowOff>
    </xdr:from>
    <xdr:to>
      <xdr:col>9</xdr:col>
      <xdr:colOff>476250</xdr:colOff>
      <xdr:row>19</xdr:row>
      <xdr:rowOff>19050</xdr:rowOff>
    </xdr:to>
    <xdr:sp>
      <xdr:nvSpPr>
        <xdr:cNvPr id="15" name="Polygon 947"/>
        <xdr:cNvSpPr>
          <a:spLocks/>
        </xdr:cNvSpPr>
      </xdr:nvSpPr>
      <xdr:spPr>
        <a:xfrm>
          <a:off x="6353175" y="2676525"/>
          <a:ext cx="952500" cy="1143000"/>
        </a:xfrm>
        <a:custGeom>
          <a:pathLst>
            <a:path h="120" w="100">
              <a:moveTo>
                <a:pt x="0" y="119"/>
              </a:moveTo>
              <a:lnTo>
                <a:pt x="74" y="80"/>
              </a:lnTo>
              <a:lnTo>
                <a:pt x="99" y="0"/>
              </a:lnTo>
              <a:lnTo>
                <a:pt x="25" y="39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36</xdr:row>
      <xdr:rowOff>104775</xdr:rowOff>
    </xdr:from>
    <xdr:to>
      <xdr:col>9</xdr:col>
      <xdr:colOff>476250</xdr:colOff>
      <xdr:row>40</xdr:row>
      <xdr:rowOff>133350</xdr:rowOff>
    </xdr:to>
    <xdr:sp>
      <xdr:nvSpPr>
        <xdr:cNvPr id="16" name="Polygon 948"/>
        <xdr:cNvSpPr>
          <a:spLocks/>
        </xdr:cNvSpPr>
      </xdr:nvSpPr>
      <xdr:spPr>
        <a:xfrm>
          <a:off x="6353175" y="6981825"/>
          <a:ext cx="952500" cy="752475"/>
        </a:xfrm>
        <a:custGeom>
          <a:pathLst>
            <a:path h="79" w="100">
              <a:moveTo>
                <a:pt x="0" y="0"/>
              </a:moveTo>
              <a:lnTo>
                <a:pt x="74" y="39"/>
              </a:lnTo>
              <a:lnTo>
                <a:pt x="99" y="78"/>
              </a:lnTo>
              <a:lnTo>
                <a:pt x="25" y="3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13</xdr:row>
      <xdr:rowOff>142875</xdr:rowOff>
    </xdr:from>
    <xdr:to>
      <xdr:col>7</xdr:col>
      <xdr:colOff>142875</xdr:colOff>
      <xdr:row>19</xdr:row>
      <xdr:rowOff>142875</xdr:rowOff>
    </xdr:to>
    <xdr:sp>
      <xdr:nvSpPr>
        <xdr:cNvPr id="17" name="Polygon 949"/>
        <xdr:cNvSpPr>
          <a:spLocks/>
        </xdr:cNvSpPr>
      </xdr:nvSpPr>
      <xdr:spPr>
        <a:xfrm>
          <a:off x="4514850" y="2857500"/>
          <a:ext cx="1085850" cy="1085850"/>
        </a:xfrm>
        <a:custGeom>
          <a:pathLst>
            <a:path h="114" w="114">
              <a:moveTo>
                <a:pt x="113" y="75"/>
              </a:moveTo>
              <a:lnTo>
                <a:pt x="74" y="0"/>
              </a:lnTo>
              <a:lnTo>
                <a:pt x="0" y="39"/>
              </a:lnTo>
              <a:lnTo>
                <a:pt x="38" y="113"/>
              </a:lnTo>
              <a:lnTo>
                <a:pt x="113" y="7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38</xdr:row>
      <xdr:rowOff>114300</xdr:rowOff>
    </xdr:from>
    <xdr:to>
      <xdr:col>7</xdr:col>
      <xdr:colOff>142875</xdr:colOff>
      <xdr:row>42</xdr:row>
      <xdr:rowOff>142875</xdr:rowOff>
    </xdr:to>
    <xdr:sp>
      <xdr:nvSpPr>
        <xdr:cNvPr id="18" name="Polygon 950"/>
        <xdr:cNvSpPr>
          <a:spLocks/>
        </xdr:cNvSpPr>
      </xdr:nvSpPr>
      <xdr:spPr>
        <a:xfrm>
          <a:off x="4514850" y="7353300"/>
          <a:ext cx="1085850" cy="752475"/>
        </a:xfrm>
        <a:custGeom>
          <a:pathLst>
            <a:path h="79" w="114">
              <a:moveTo>
                <a:pt x="113" y="0"/>
              </a:moveTo>
              <a:lnTo>
                <a:pt x="74" y="39"/>
              </a:lnTo>
              <a:lnTo>
                <a:pt x="0" y="78"/>
              </a:lnTo>
              <a:lnTo>
                <a:pt x="38" y="39"/>
              </a:lnTo>
              <a:lnTo>
                <a:pt x="113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12</xdr:row>
      <xdr:rowOff>142875</xdr:rowOff>
    </xdr:from>
    <xdr:to>
      <xdr:col>10</xdr:col>
      <xdr:colOff>552450</xdr:colOff>
      <xdr:row>18</xdr:row>
      <xdr:rowOff>76200</xdr:rowOff>
    </xdr:to>
    <xdr:sp>
      <xdr:nvSpPr>
        <xdr:cNvPr id="19" name="Polygon 951"/>
        <xdr:cNvSpPr>
          <a:spLocks/>
        </xdr:cNvSpPr>
      </xdr:nvSpPr>
      <xdr:spPr>
        <a:xfrm>
          <a:off x="7058025" y="2676525"/>
          <a:ext cx="1009650" cy="1019175"/>
        </a:xfrm>
        <a:custGeom>
          <a:pathLst>
            <a:path h="107" w="106">
              <a:moveTo>
                <a:pt x="0" y="80"/>
              </a:moveTo>
              <a:lnTo>
                <a:pt x="80" y="106"/>
              </a:lnTo>
              <a:lnTo>
                <a:pt x="105" y="26"/>
              </a:lnTo>
              <a:lnTo>
                <a:pt x="25" y="0"/>
              </a:lnTo>
              <a:lnTo>
                <a:pt x="0" y="8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38</xdr:row>
      <xdr:rowOff>114300</xdr:rowOff>
    </xdr:from>
    <xdr:to>
      <xdr:col>10</xdr:col>
      <xdr:colOff>552450</xdr:colOff>
      <xdr:row>42</xdr:row>
      <xdr:rowOff>142875</xdr:rowOff>
    </xdr:to>
    <xdr:sp>
      <xdr:nvSpPr>
        <xdr:cNvPr id="20" name="Polygon 952"/>
        <xdr:cNvSpPr>
          <a:spLocks/>
        </xdr:cNvSpPr>
      </xdr:nvSpPr>
      <xdr:spPr>
        <a:xfrm>
          <a:off x="7058025" y="7353300"/>
          <a:ext cx="1009650" cy="752475"/>
        </a:xfrm>
        <a:custGeom>
          <a:pathLst>
            <a:path h="79" w="106">
              <a:moveTo>
                <a:pt x="0" y="0"/>
              </a:moveTo>
              <a:lnTo>
                <a:pt x="80" y="39"/>
              </a:lnTo>
              <a:lnTo>
                <a:pt x="105" y="78"/>
              </a:lnTo>
              <a:lnTo>
                <a:pt x="25" y="3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152400</xdr:rowOff>
    </xdr:from>
    <xdr:to>
      <xdr:col>6</xdr:col>
      <xdr:colOff>114300</xdr:colOff>
      <xdr:row>24</xdr:row>
      <xdr:rowOff>0</xdr:rowOff>
    </xdr:to>
    <xdr:sp>
      <xdr:nvSpPr>
        <xdr:cNvPr id="21" name="Polygon 953"/>
        <xdr:cNvSpPr>
          <a:spLocks/>
        </xdr:cNvSpPr>
      </xdr:nvSpPr>
      <xdr:spPr>
        <a:xfrm>
          <a:off x="4276725" y="3228975"/>
          <a:ext cx="609600" cy="1476375"/>
        </a:xfrm>
        <a:custGeom>
          <a:pathLst>
            <a:path h="155" w="64">
              <a:moveTo>
                <a:pt x="63" y="74"/>
              </a:moveTo>
              <a:lnTo>
                <a:pt x="25" y="0"/>
              </a:lnTo>
              <a:lnTo>
                <a:pt x="0" y="80"/>
              </a:lnTo>
              <a:lnTo>
                <a:pt x="38" y="154"/>
              </a:lnTo>
              <a:lnTo>
                <a:pt x="63" y="7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40</xdr:row>
      <xdr:rowOff>123825</xdr:rowOff>
    </xdr:from>
    <xdr:to>
      <xdr:col>6</xdr:col>
      <xdr:colOff>114300</xdr:colOff>
      <xdr:row>44</xdr:row>
      <xdr:rowOff>152400</xdr:rowOff>
    </xdr:to>
    <xdr:sp>
      <xdr:nvSpPr>
        <xdr:cNvPr id="22" name="Polygon 954"/>
        <xdr:cNvSpPr>
          <a:spLocks/>
        </xdr:cNvSpPr>
      </xdr:nvSpPr>
      <xdr:spPr>
        <a:xfrm>
          <a:off x="4276725" y="7724775"/>
          <a:ext cx="609600" cy="752475"/>
        </a:xfrm>
        <a:custGeom>
          <a:pathLst>
            <a:path h="79" w="64">
              <a:moveTo>
                <a:pt x="63" y="0"/>
              </a:moveTo>
              <a:lnTo>
                <a:pt x="25" y="39"/>
              </a:lnTo>
              <a:lnTo>
                <a:pt x="0" y="78"/>
              </a:lnTo>
              <a:lnTo>
                <a:pt x="38" y="39"/>
              </a:lnTo>
              <a:lnTo>
                <a:pt x="63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133350</xdr:rowOff>
    </xdr:from>
    <xdr:to>
      <xdr:col>8</xdr:col>
      <xdr:colOff>219075</xdr:colOff>
      <xdr:row>21</xdr:row>
      <xdr:rowOff>28575</xdr:rowOff>
    </xdr:to>
    <xdr:sp>
      <xdr:nvSpPr>
        <xdr:cNvPr id="23" name="Polygon 955"/>
        <xdr:cNvSpPr>
          <a:spLocks/>
        </xdr:cNvSpPr>
      </xdr:nvSpPr>
      <xdr:spPr>
        <a:xfrm>
          <a:off x="4876800" y="3571875"/>
          <a:ext cx="1485900" cy="619125"/>
        </a:xfrm>
        <a:custGeom>
          <a:pathLst>
            <a:path h="65" w="156">
              <a:moveTo>
                <a:pt x="155" y="25"/>
              </a:moveTo>
              <a:lnTo>
                <a:pt x="75" y="0"/>
              </a:lnTo>
              <a:lnTo>
                <a:pt x="0" y="38"/>
              </a:lnTo>
              <a:lnTo>
                <a:pt x="80" y="64"/>
              </a:lnTo>
              <a:lnTo>
                <a:pt x="155" y="2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104775</xdr:rowOff>
    </xdr:from>
    <xdr:to>
      <xdr:col>8</xdr:col>
      <xdr:colOff>219075</xdr:colOff>
      <xdr:row>40</xdr:row>
      <xdr:rowOff>133350</xdr:rowOff>
    </xdr:to>
    <xdr:sp>
      <xdr:nvSpPr>
        <xdr:cNvPr id="24" name="Polygon 956"/>
        <xdr:cNvSpPr>
          <a:spLocks/>
        </xdr:cNvSpPr>
      </xdr:nvSpPr>
      <xdr:spPr>
        <a:xfrm>
          <a:off x="4876800" y="6981825"/>
          <a:ext cx="1485900" cy="752475"/>
        </a:xfrm>
        <a:custGeom>
          <a:pathLst>
            <a:path h="79" w="156">
              <a:moveTo>
                <a:pt x="155" y="0"/>
              </a:moveTo>
              <a:lnTo>
                <a:pt x="75" y="39"/>
              </a:lnTo>
              <a:lnTo>
                <a:pt x="0" y="78"/>
              </a:lnTo>
              <a:lnTo>
                <a:pt x="80" y="39"/>
              </a:lnTo>
              <a:lnTo>
                <a:pt x="15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17</xdr:row>
      <xdr:rowOff>0</xdr:rowOff>
    </xdr:from>
    <xdr:to>
      <xdr:col>10</xdr:col>
      <xdr:colOff>314325</xdr:colOff>
      <xdr:row>20</xdr:row>
      <xdr:rowOff>76200</xdr:rowOff>
    </xdr:to>
    <xdr:sp>
      <xdr:nvSpPr>
        <xdr:cNvPr id="25" name="Polygon 957"/>
        <xdr:cNvSpPr>
          <a:spLocks/>
        </xdr:cNvSpPr>
      </xdr:nvSpPr>
      <xdr:spPr>
        <a:xfrm>
          <a:off x="6353175" y="3438525"/>
          <a:ext cx="1476375" cy="619125"/>
        </a:xfrm>
        <a:custGeom>
          <a:pathLst>
            <a:path h="65" w="155">
              <a:moveTo>
                <a:pt x="0" y="39"/>
              </a:moveTo>
              <a:lnTo>
                <a:pt x="80" y="64"/>
              </a:lnTo>
              <a:lnTo>
                <a:pt x="154" y="26"/>
              </a:lnTo>
              <a:lnTo>
                <a:pt x="74" y="0"/>
              </a:lnTo>
              <a:lnTo>
                <a:pt x="0" y="3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36</xdr:row>
      <xdr:rowOff>104775</xdr:rowOff>
    </xdr:from>
    <xdr:to>
      <xdr:col>10</xdr:col>
      <xdr:colOff>314325</xdr:colOff>
      <xdr:row>40</xdr:row>
      <xdr:rowOff>133350</xdr:rowOff>
    </xdr:to>
    <xdr:sp>
      <xdr:nvSpPr>
        <xdr:cNvPr id="26" name="Polygon 958"/>
        <xdr:cNvSpPr>
          <a:spLocks/>
        </xdr:cNvSpPr>
      </xdr:nvSpPr>
      <xdr:spPr>
        <a:xfrm>
          <a:off x="6353175" y="6981825"/>
          <a:ext cx="1476375" cy="752475"/>
        </a:xfrm>
        <a:custGeom>
          <a:pathLst>
            <a:path h="79" w="155">
              <a:moveTo>
                <a:pt x="0" y="0"/>
              </a:moveTo>
              <a:lnTo>
                <a:pt x="80" y="39"/>
              </a:lnTo>
              <a:lnTo>
                <a:pt x="154" y="78"/>
              </a:lnTo>
              <a:lnTo>
                <a:pt x="74" y="3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14</xdr:row>
      <xdr:rowOff>28575</xdr:rowOff>
    </xdr:from>
    <xdr:to>
      <xdr:col>11</xdr:col>
      <xdr:colOff>238125</xdr:colOff>
      <xdr:row>22</xdr:row>
      <xdr:rowOff>57150</xdr:rowOff>
    </xdr:to>
    <xdr:sp>
      <xdr:nvSpPr>
        <xdr:cNvPr id="27" name="Polygon 959"/>
        <xdr:cNvSpPr>
          <a:spLocks/>
        </xdr:cNvSpPr>
      </xdr:nvSpPr>
      <xdr:spPr>
        <a:xfrm>
          <a:off x="7820025" y="2924175"/>
          <a:ext cx="619125" cy="1476375"/>
        </a:xfrm>
        <a:custGeom>
          <a:pathLst>
            <a:path h="155" w="65">
              <a:moveTo>
                <a:pt x="0" y="80"/>
              </a:moveTo>
              <a:lnTo>
                <a:pt x="39" y="154"/>
              </a:lnTo>
              <a:lnTo>
                <a:pt x="64" y="74"/>
              </a:lnTo>
              <a:lnTo>
                <a:pt x="25" y="0"/>
              </a:lnTo>
              <a:lnTo>
                <a:pt x="0" y="8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40</xdr:row>
      <xdr:rowOff>123825</xdr:rowOff>
    </xdr:from>
    <xdr:to>
      <xdr:col>11</xdr:col>
      <xdr:colOff>238125</xdr:colOff>
      <xdr:row>44</xdr:row>
      <xdr:rowOff>152400</xdr:rowOff>
    </xdr:to>
    <xdr:sp>
      <xdr:nvSpPr>
        <xdr:cNvPr id="28" name="Polygon 960"/>
        <xdr:cNvSpPr>
          <a:spLocks/>
        </xdr:cNvSpPr>
      </xdr:nvSpPr>
      <xdr:spPr>
        <a:xfrm>
          <a:off x="7820025" y="7724775"/>
          <a:ext cx="619125" cy="752475"/>
        </a:xfrm>
        <a:custGeom>
          <a:pathLst>
            <a:path h="79" w="65">
              <a:moveTo>
                <a:pt x="0" y="0"/>
              </a:moveTo>
              <a:lnTo>
                <a:pt x="39" y="39"/>
              </a:lnTo>
              <a:lnTo>
                <a:pt x="64" y="78"/>
              </a:lnTo>
              <a:lnTo>
                <a:pt x="25" y="3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19</xdr:row>
      <xdr:rowOff>133350</xdr:rowOff>
    </xdr:from>
    <xdr:to>
      <xdr:col>7</xdr:col>
      <xdr:colOff>190500</xdr:colOff>
      <xdr:row>25</xdr:row>
      <xdr:rowOff>66675</xdr:rowOff>
    </xdr:to>
    <xdr:sp>
      <xdr:nvSpPr>
        <xdr:cNvPr id="29" name="Polygon 961"/>
        <xdr:cNvSpPr>
          <a:spLocks/>
        </xdr:cNvSpPr>
      </xdr:nvSpPr>
      <xdr:spPr>
        <a:xfrm>
          <a:off x="4638675" y="3933825"/>
          <a:ext cx="1009650" cy="1019175"/>
        </a:xfrm>
        <a:custGeom>
          <a:pathLst>
            <a:path h="107" w="106">
              <a:moveTo>
                <a:pt x="105" y="26"/>
              </a:moveTo>
              <a:lnTo>
                <a:pt x="25" y="0"/>
              </a:lnTo>
              <a:lnTo>
                <a:pt x="0" y="80"/>
              </a:lnTo>
              <a:lnTo>
                <a:pt x="80" y="106"/>
              </a:lnTo>
              <a:lnTo>
                <a:pt x="105" y="2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38</xdr:row>
      <xdr:rowOff>114300</xdr:rowOff>
    </xdr:from>
    <xdr:to>
      <xdr:col>7</xdr:col>
      <xdr:colOff>190500</xdr:colOff>
      <xdr:row>42</xdr:row>
      <xdr:rowOff>142875</xdr:rowOff>
    </xdr:to>
    <xdr:sp>
      <xdr:nvSpPr>
        <xdr:cNvPr id="30" name="Polygon 962"/>
        <xdr:cNvSpPr>
          <a:spLocks/>
        </xdr:cNvSpPr>
      </xdr:nvSpPr>
      <xdr:spPr>
        <a:xfrm>
          <a:off x="4638675" y="7353300"/>
          <a:ext cx="1009650" cy="752475"/>
        </a:xfrm>
        <a:custGeom>
          <a:pathLst>
            <a:path h="79" w="106">
              <a:moveTo>
                <a:pt x="105" y="0"/>
              </a:moveTo>
              <a:lnTo>
                <a:pt x="25" y="39"/>
              </a:lnTo>
              <a:lnTo>
                <a:pt x="0" y="78"/>
              </a:lnTo>
              <a:lnTo>
                <a:pt x="80" y="39"/>
              </a:lnTo>
              <a:lnTo>
                <a:pt x="10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18</xdr:row>
      <xdr:rowOff>66675</xdr:rowOff>
    </xdr:from>
    <xdr:to>
      <xdr:col>11</xdr:col>
      <xdr:colOff>0</xdr:colOff>
      <xdr:row>24</xdr:row>
      <xdr:rowOff>66675</xdr:rowOff>
    </xdr:to>
    <xdr:sp>
      <xdr:nvSpPr>
        <xdr:cNvPr id="31" name="Polygon 963"/>
        <xdr:cNvSpPr>
          <a:spLocks/>
        </xdr:cNvSpPr>
      </xdr:nvSpPr>
      <xdr:spPr>
        <a:xfrm>
          <a:off x="7115175" y="3686175"/>
          <a:ext cx="1085850" cy="1085850"/>
        </a:xfrm>
        <a:custGeom>
          <a:pathLst>
            <a:path h="114" w="114">
              <a:moveTo>
                <a:pt x="0" y="38"/>
              </a:moveTo>
              <a:lnTo>
                <a:pt x="38" y="113"/>
              </a:lnTo>
              <a:lnTo>
                <a:pt x="113" y="74"/>
              </a:lnTo>
              <a:lnTo>
                <a:pt x="74" y="0"/>
              </a:lnTo>
              <a:lnTo>
                <a:pt x="0" y="3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38</xdr:row>
      <xdr:rowOff>114300</xdr:rowOff>
    </xdr:from>
    <xdr:to>
      <xdr:col>11</xdr:col>
      <xdr:colOff>0</xdr:colOff>
      <xdr:row>42</xdr:row>
      <xdr:rowOff>142875</xdr:rowOff>
    </xdr:to>
    <xdr:sp>
      <xdr:nvSpPr>
        <xdr:cNvPr id="32" name="Polygon 964"/>
        <xdr:cNvSpPr>
          <a:spLocks/>
        </xdr:cNvSpPr>
      </xdr:nvSpPr>
      <xdr:spPr>
        <a:xfrm>
          <a:off x="7115175" y="7353300"/>
          <a:ext cx="1085850" cy="752475"/>
        </a:xfrm>
        <a:custGeom>
          <a:pathLst>
            <a:path h="79" w="114">
              <a:moveTo>
                <a:pt x="0" y="0"/>
              </a:moveTo>
              <a:lnTo>
                <a:pt x="38" y="39"/>
              </a:lnTo>
              <a:lnTo>
                <a:pt x="113" y="78"/>
              </a:lnTo>
              <a:lnTo>
                <a:pt x="74" y="3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19</xdr:row>
      <xdr:rowOff>9525</xdr:rowOff>
    </xdr:from>
    <xdr:to>
      <xdr:col>8</xdr:col>
      <xdr:colOff>219075</xdr:colOff>
      <xdr:row>25</xdr:row>
      <xdr:rowOff>66675</xdr:rowOff>
    </xdr:to>
    <xdr:sp>
      <xdr:nvSpPr>
        <xdr:cNvPr id="33" name="Polygon 965"/>
        <xdr:cNvSpPr>
          <a:spLocks/>
        </xdr:cNvSpPr>
      </xdr:nvSpPr>
      <xdr:spPr>
        <a:xfrm>
          <a:off x="5400675" y="3810000"/>
          <a:ext cx="962025" cy="1143000"/>
        </a:xfrm>
        <a:custGeom>
          <a:pathLst>
            <a:path h="120" w="101">
              <a:moveTo>
                <a:pt x="100" y="0"/>
              </a:moveTo>
              <a:lnTo>
                <a:pt x="25" y="39"/>
              </a:lnTo>
              <a:lnTo>
                <a:pt x="0" y="119"/>
              </a:lnTo>
              <a:lnTo>
                <a:pt x="74" y="80"/>
              </a:lnTo>
              <a:lnTo>
                <a:pt x="1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36</xdr:row>
      <xdr:rowOff>104775</xdr:rowOff>
    </xdr:from>
    <xdr:to>
      <xdr:col>8</xdr:col>
      <xdr:colOff>219075</xdr:colOff>
      <xdr:row>40</xdr:row>
      <xdr:rowOff>133350</xdr:rowOff>
    </xdr:to>
    <xdr:sp>
      <xdr:nvSpPr>
        <xdr:cNvPr id="34" name="Polygon 966"/>
        <xdr:cNvSpPr>
          <a:spLocks/>
        </xdr:cNvSpPr>
      </xdr:nvSpPr>
      <xdr:spPr>
        <a:xfrm>
          <a:off x="5400675" y="6981825"/>
          <a:ext cx="962025" cy="752475"/>
        </a:xfrm>
        <a:custGeom>
          <a:pathLst>
            <a:path h="79" w="101">
              <a:moveTo>
                <a:pt x="100" y="0"/>
              </a:moveTo>
              <a:lnTo>
                <a:pt x="25" y="39"/>
              </a:lnTo>
              <a:lnTo>
                <a:pt x="0" y="78"/>
              </a:lnTo>
              <a:lnTo>
                <a:pt x="74" y="39"/>
              </a:lnTo>
              <a:lnTo>
                <a:pt x="1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19</xdr:row>
      <xdr:rowOff>9525</xdr:rowOff>
    </xdr:from>
    <xdr:to>
      <xdr:col>9</xdr:col>
      <xdr:colOff>657225</xdr:colOff>
      <xdr:row>24</xdr:row>
      <xdr:rowOff>66675</xdr:rowOff>
    </xdr:to>
    <xdr:sp>
      <xdr:nvSpPr>
        <xdr:cNvPr id="35" name="Polygon 967"/>
        <xdr:cNvSpPr>
          <a:spLocks/>
        </xdr:cNvSpPr>
      </xdr:nvSpPr>
      <xdr:spPr>
        <a:xfrm>
          <a:off x="6353175" y="3810000"/>
          <a:ext cx="1133475" cy="962025"/>
        </a:xfrm>
        <a:custGeom>
          <a:pathLst>
            <a:path h="101" w="119">
              <a:moveTo>
                <a:pt x="0" y="0"/>
              </a:moveTo>
              <a:lnTo>
                <a:pt x="38" y="74"/>
              </a:lnTo>
              <a:lnTo>
                <a:pt x="118" y="100"/>
              </a:lnTo>
              <a:lnTo>
                <a:pt x="80" y="2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36</xdr:row>
      <xdr:rowOff>104775</xdr:rowOff>
    </xdr:from>
    <xdr:to>
      <xdr:col>9</xdr:col>
      <xdr:colOff>657225</xdr:colOff>
      <xdr:row>40</xdr:row>
      <xdr:rowOff>133350</xdr:rowOff>
    </xdr:to>
    <xdr:sp>
      <xdr:nvSpPr>
        <xdr:cNvPr id="36" name="Polygon 968"/>
        <xdr:cNvSpPr>
          <a:spLocks/>
        </xdr:cNvSpPr>
      </xdr:nvSpPr>
      <xdr:spPr>
        <a:xfrm>
          <a:off x="6353175" y="6981825"/>
          <a:ext cx="1133475" cy="752475"/>
        </a:xfrm>
        <a:custGeom>
          <a:pathLst>
            <a:path h="79" w="119">
              <a:moveTo>
                <a:pt x="0" y="0"/>
              </a:moveTo>
              <a:lnTo>
                <a:pt x="38" y="39"/>
              </a:lnTo>
              <a:lnTo>
                <a:pt x="118" y="78"/>
              </a:lnTo>
              <a:lnTo>
                <a:pt x="80" y="3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23</xdr:row>
      <xdr:rowOff>47625</xdr:rowOff>
    </xdr:from>
    <xdr:to>
      <xdr:col>8</xdr:col>
      <xdr:colOff>342900</xdr:colOff>
      <xdr:row>29</xdr:row>
      <xdr:rowOff>47625</xdr:rowOff>
    </xdr:to>
    <xdr:sp>
      <xdr:nvSpPr>
        <xdr:cNvPr id="37" name="Polygon 969"/>
        <xdr:cNvSpPr>
          <a:spLocks/>
        </xdr:cNvSpPr>
      </xdr:nvSpPr>
      <xdr:spPr>
        <a:xfrm>
          <a:off x="5400675" y="4572000"/>
          <a:ext cx="1085850" cy="1085850"/>
        </a:xfrm>
        <a:custGeom>
          <a:pathLst>
            <a:path h="114" w="114">
              <a:moveTo>
                <a:pt x="74" y="0"/>
              </a:moveTo>
              <a:lnTo>
                <a:pt x="0" y="39"/>
              </a:lnTo>
              <a:lnTo>
                <a:pt x="39" y="113"/>
              </a:lnTo>
              <a:lnTo>
                <a:pt x="113" y="74"/>
              </a:lnTo>
              <a:lnTo>
                <a:pt x="7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38</xdr:row>
      <xdr:rowOff>114300</xdr:rowOff>
    </xdr:from>
    <xdr:to>
      <xdr:col>8</xdr:col>
      <xdr:colOff>342900</xdr:colOff>
      <xdr:row>42</xdr:row>
      <xdr:rowOff>142875</xdr:rowOff>
    </xdr:to>
    <xdr:sp>
      <xdr:nvSpPr>
        <xdr:cNvPr id="38" name="Polygon 970"/>
        <xdr:cNvSpPr>
          <a:spLocks/>
        </xdr:cNvSpPr>
      </xdr:nvSpPr>
      <xdr:spPr>
        <a:xfrm>
          <a:off x="5400675" y="7353300"/>
          <a:ext cx="1085850" cy="752475"/>
        </a:xfrm>
        <a:custGeom>
          <a:pathLst>
            <a:path h="79" w="114">
              <a:moveTo>
                <a:pt x="74" y="0"/>
              </a:moveTo>
              <a:lnTo>
                <a:pt x="0" y="39"/>
              </a:lnTo>
              <a:lnTo>
                <a:pt x="39" y="78"/>
              </a:lnTo>
              <a:lnTo>
                <a:pt x="113" y="39"/>
              </a:lnTo>
              <a:lnTo>
                <a:pt x="7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22</xdr:row>
      <xdr:rowOff>171450</xdr:rowOff>
    </xdr:from>
    <xdr:to>
      <xdr:col>9</xdr:col>
      <xdr:colOff>657225</xdr:colOff>
      <xdr:row>28</xdr:row>
      <xdr:rowOff>95250</xdr:rowOff>
    </xdr:to>
    <xdr:sp>
      <xdr:nvSpPr>
        <xdr:cNvPr id="39" name="Polygon 971"/>
        <xdr:cNvSpPr>
          <a:spLocks/>
        </xdr:cNvSpPr>
      </xdr:nvSpPr>
      <xdr:spPr>
        <a:xfrm>
          <a:off x="6477000" y="4514850"/>
          <a:ext cx="1009650" cy="1009650"/>
        </a:xfrm>
        <a:custGeom>
          <a:pathLst>
            <a:path h="106" w="106">
              <a:moveTo>
                <a:pt x="25" y="0"/>
              </a:moveTo>
              <a:lnTo>
                <a:pt x="0" y="80"/>
              </a:lnTo>
              <a:lnTo>
                <a:pt x="80" y="105"/>
              </a:lnTo>
              <a:lnTo>
                <a:pt x="105" y="26"/>
              </a:lnTo>
              <a:lnTo>
                <a:pt x="2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38</xdr:row>
      <xdr:rowOff>114300</xdr:rowOff>
    </xdr:from>
    <xdr:to>
      <xdr:col>9</xdr:col>
      <xdr:colOff>657225</xdr:colOff>
      <xdr:row>42</xdr:row>
      <xdr:rowOff>142875</xdr:rowOff>
    </xdr:to>
    <xdr:sp>
      <xdr:nvSpPr>
        <xdr:cNvPr id="40" name="Polygon 972"/>
        <xdr:cNvSpPr>
          <a:spLocks/>
        </xdr:cNvSpPr>
      </xdr:nvSpPr>
      <xdr:spPr>
        <a:xfrm>
          <a:off x="6477000" y="7353300"/>
          <a:ext cx="1009650" cy="752475"/>
        </a:xfrm>
        <a:custGeom>
          <a:pathLst>
            <a:path h="79" w="106">
              <a:moveTo>
                <a:pt x="25" y="0"/>
              </a:moveTo>
              <a:lnTo>
                <a:pt x="0" y="39"/>
              </a:lnTo>
              <a:lnTo>
                <a:pt x="80" y="78"/>
              </a:lnTo>
              <a:lnTo>
                <a:pt x="105" y="39"/>
              </a:lnTo>
              <a:lnTo>
                <a:pt x="2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23</xdr:row>
      <xdr:rowOff>171450</xdr:rowOff>
    </xdr:from>
    <xdr:to>
      <xdr:col>7</xdr:col>
      <xdr:colOff>323850</xdr:colOff>
      <xdr:row>29</xdr:row>
      <xdr:rowOff>47625</xdr:rowOff>
    </xdr:to>
    <xdr:sp>
      <xdr:nvSpPr>
        <xdr:cNvPr id="41" name="Polygon 973"/>
        <xdr:cNvSpPr>
          <a:spLocks/>
        </xdr:cNvSpPr>
      </xdr:nvSpPr>
      <xdr:spPr>
        <a:xfrm>
          <a:off x="4638675" y="4695825"/>
          <a:ext cx="1143000" cy="962025"/>
        </a:xfrm>
        <a:custGeom>
          <a:pathLst>
            <a:path h="101" w="120">
              <a:moveTo>
                <a:pt x="80" y="26"/>
              </a:moveTo>
              <a:lnTo>
                <a:pt x="0" y="0"/>
              </a:lnTo>
              <a:lnTo>
                <a:pt x="39" y="75"/>
              </a:lnTo>
              <a:lnTo>
                <a:pt x="119" y="100"/>
              </a:lnTo>
              <a:lnTo>
                <a:pt x="80" y="2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40</xdr:row>
      <xdr:rowOff>123825</xdr:rowOff>
    </xdr:from>
    <xdr:to>
      <xdr:col>7</xdr:col>
      <xdr:colOff>323850</xdr:colOff>
      <xdr:row>44</xdr:row>
      <xdr:rowOff>152400</xdr:rowOff>
    </xdr:to>
    <xdr:sp>
      <xdr:nvSpPr>
        <xdr:cNvPr id="42" name="Polygon 974"/>
        <xdr:cNvSpPr>
          <a:spLocks/>
        </xdr:cNvSpPr>
      </xdr:nvSpPr>
      <xdr:spPr>
        <a:xfrm>
          <a:off x="4638675" y="7724775"/>
          <a:ext cx="1143000" cy="752475"/>
        </a:xfrm>
        <a:custGeom>
          <a:pathLst>
            <a:path h="79" w="120">
              <a:moveTo>
                <a:pt x="80" y="0"/>
              </a:moveTo>
              <a:lnTo>
                <a:pt x="0" y="39"/>
              </a:lnTo>
              <a:lnTo>
                <a:pt x="39" y="78"/>
              </a:lnTo>
              <a:lnTo>
                <a:pt x="119" y="39"/>
              </a:lnTo>
              <a:lnTo>
                <a:pt x="8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22</xdr:row>
      <xdr:rowOff>47625</xdr:rowOff>
    </xdr:from>
    <xdr:to>
      <xdr:col>11</xdr:col>
      <xdr:colOff>0</xdr:colOff>
      <xdr:row>28</xdr:row>
      <xdr:rowOff>95250</xdr:rowOff>
    </xdr:to>
    <xdr:sp>
      <xdr:nvSpPr>
        <xdr:cNvPr id="43" name="Polygon 975"/>
        <xdr:cNvSpPr>
          <a:spLocks/>
        </xdr:cNvSpPr>
      </xdr:nvSpPr>
      <xdr:spPr>
        <a:xfrm>
          <a:off x="7239000" y="4391025"/>
          <a:ext cx="962025" cy="1133475"/>
        </a:xfrm>
        <a:custGeom>
          <a:pathLst>
            <a:path h="119" w="101">
              <a:moveTo>
                <a:pt x="25" y="39"/>
              </a:moveTo>
              <a:lnTo>
                <a:pt x="0" y="118"/>
              </a:lnTo>
              <a:lnTo>
                <a:pt x="74" y="80"/>
              </a:lnTo>
              <a:lnTo>
                <a:pt x="100" y="0"/>
              </a:lnTo>
              <a:lnTo>
                <a:pt x="25" y="3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40</xdr:row>
      <xdr:rowOff>123825</xdr:rowOff>
    </xdr:from>
    <xdr:to>
      <xdr:col>11</xdr:col>
      <xdr:colOff>0</xdr:colOff>
      <xdr:row>44</xdr:row>
      <xdr:rowOff>152400</xdr:rowOff>
    </xdr:to>
    <xdr:sp>
      <xdr:nvSpPr>
        <xdr:cNvPr id="44" name="Polygon 976"/>
        <xdr:cNvSpPr>
          <a:spLocks/>
        </xdr:cNvSpPr>
      </xdr:nvSpPr>
      <xdr:spPr>
        <a:xfrm>
          <a:off x="7239000" y="7724775"/>
          <a:ext cx="962025" cy="752475"/>
        </a:xfrm>
        <a:custGeom>
          <a:pathLst>
            <a:path h="79" w="101">
              <a:moveTo>
                <a:pt x="25" y="0"/>
              </a:moveTo>
              <a:lnTo>
                <a:pt x="0" y="39"/>
              </a:lnTo>
              <a:lnTo>
                <a:pt x="74" y="78"/>
              </a:lnTo>
              <a:lnTo>
                <a:pt x="100" y="39"/>
              </a:lnTo>
              <a:lnTo>
                <a:pt x="2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27</xdr:row>
      <xdr:rowOff>28575</xdr:rowOff>
    </xdr:from>
    <xdr:to>
      <xdr:col>9</xdr:col>
      <xdr:colOff>419100</xdr:colOff>
      <xdr:row>30</xdr:row>
      <xdr:rowOff>104775</xdr:rowOff>
    </xdr:to>
    <xdr:sp>
      <xdr:nvSpPr>
        <xdr:cNvPr id="45" name="Polygon 977"/>
        <xdr:cNvSpPr>
          <a:spLocks/>
        </xdr:cNvSpPr>
      </xdr:nvSpPr>
      <xdr:spPr>
        <a:xfrm>
          <a:off x="5772150" y="5276850"/>
          <a:ext cx="1476375" cy="619125"/>
        </a:xfrm>
        <a:custGeom>
          <a:pathLst>
            <a:path h="65" w="155">
              <a:moveTo>
                <a:pt x="74" y="0"/>
              </a:moveTo>
              <a:lnTo>
                <a:pt x="0" y="39"/>
              </a:lnTo>
              <a:lnTo>
                <a:pt x="80" y="64"/>
              </a:lnTo>
              <a:lnTo>
                <a:pt x="154" y="25"/>
              </a:lnTo>
              <a:lnTo>
                <a:pt x="7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40</xdr:row>
      <xdr:rowOff>123825</xdr:rowOff>
    </xdr:from>
    <xdr:to>
      <xdr:col>9</xdr:col>
      <xdr:colOff>419100</xdr:colOff>
      <xdr:row>44</xdr:row>
      <xdr:rowOff>152400</xdr:rowOff>
    </xdr:to>
    <xdr:sp>
      <xdr:nvSpPr>
        <xdr:cNvPr id="46" name="Polygon 978"/>
        <xdr:cNvSpPr>
          <a:spLocks/>
        </xdr:cNvSpPr>
      </xdr:nvSpPr>
      <xdr:spPr>
        <a:xfrm>
          <a:off x="5772150" y="7724775"/>
          <a:ext cx="1476375" cy="752475"/>
        </a:xfrm>
        <a:custGeom>
          <a:pathLst>
            <a:path h="79" w="155">
              <a:moveTo>
                <a:pt x="74" y="0"/>
              </a:moveTo>
              <a:lnTo>
                <a:pt x="0" y="39"/>
              </a:lnTo>
              <a:lnTo>
                <a:pt x="80" y="78"/>
              </a:lnTo>
              <a:lnTo>
                <a:pt x="154" y="39"/>
              </a:lnTo>
              <a:lnTo>
                <a:pt x="7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19</xdr:row>
      <xdr:rowOff>9525</xdr:rowOff>
    </xdr:from>
    <xdr:to>
      <xdr:col>8</xdr:col>
      <xdr:colOff>581025</xdr:colOff>
      <xdr:row>27</xdr:row>
      <xdr:rowOff>38100</xdr:rowOff>
    </xdr:to>
    <xdr:sp>
      <xdr:nvSpPr>
        <xdr:cNvPr id="47" name="Polygon 979"/>
        <xdr:cNvSpPr>
          <a:spLocks/>
        </xdr:cNvSpPr>
      </xdr:nvSpPr>
      <xdr:spPr>
        <a:xfrm>
          <a:off x="6105525" y="3810000"/>
          <a:ext cx="619125" cy="1476375"/>
        </a:xfrm>
        <a:custGeom>
          <a:pathLst>
            <a:path h="155" w="65">
              <a:moveTo>
                <a:pt x="26" y="0"/>
              </a:moveTo>
              <a:lnTo>
                <a:pt x="0" y="80"/>
              </a:lnTo>
              <a:lnTo>
                <a:pt x="39" y="154"/>
              </a:lnTo>
              <a:lnTo>
                <a:pt x="64" y="74"/>
              </a:lnTo>
              <a:lnTo>
                <a:pt x="26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36</xdr:row>
      <xdr:rowOff>104775</xdr:rowOff>
    </xdr:from>
    <xdr:to>
      <xdr:col>8</xdr:col>
      <xdr:colOff>581025</xdr:colOff>
      <xdr:row>40</xdr:row>
      <xdr:rowOff>133350</xdr:rowOff>
    </xdr:to>
    <xdr:sp>
      <xdr:nvSpPr>
        <xdr:cNvPr id="48" name="Polygon 980"/>
        <xdr:cNvSpPr>
          <a:spLocks/>
        </xdr:cNvSpPr>
      </xdr:nvSpPr>
      <xdr:spPr>
        <a:xfrm>
          <a:off x="6105525" y="6981825"/>
          <a:ext cx="619125" cy="752475"/>
        </a:xfrm>
        <a:custGeom>
          <a:pathLst>
            <a:path h="79" w="65">
              <a:moveTo>
                <a:pt x="26" y="0"/>
              </a:moveTo>
              <a:lnTo>
                <a:pt x="0" y="39"/>
              </a:lnTo>
              <a:lnTo>
                <a:pt x="39" y="78"/>
              </a:lnTo>
              <a:lnTo>
                <a:pt x="64" y="39"/>
              </a:lnTo>
              <a:lnTo>
                <a:pt x="26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219075</xdr:colOff>
      <xdr:row>19</xdr:row>
      <xdr:rowOff>9525</xdr:rowOff>
    </xdr:from>
    <xdr:ext cx="161925" cy="238125"/>
    <xdr:sp>
      <xdr:nvSpPr>
        <xdr:cNvPr id="49" name="TextBox 981"/>
        <xdr:cNvSpPr txBox="1">
          <a:spLocks noChangeArrowheads="1"/>
        </xdr:cNvSpPr>
      </xdr:nvSpPr>
      <xdr:spPr>
        <a:xfrm>
          <a:off x="6362700" y="3810000"/>
          <a:ext cx="1619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8</xdr:col>
      <xdr:colOff>333375</xdr:colOff>
      <xdr:row>27</xdr:row>
      <xdr:rowOff>28575</xdr:rowOff>
    </xdr:from>
    <xdr:ext cx="161925" cy="228600"/>
    <xdr:sp>
      <xdr:nvSpPr>
        <xdr:cNvPr id="50" name="TextBox 982"/>
        <xdr:cNvSpPr txBox="1">
          <a:spLocks noChangeArrowheads="1"/>
        </xdr:cNvSpPr>
      </xdr:nvSpPr>
      <xdr:spPr>
        <a:xfrm>
          <a:off x="6477000" y="52768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9</xdr:col>
      <xdr:colOff>647700</xdr:colOff>
      <xdr:row>24</xdr:row>
      <xdr:rowOff>66675</xdr:rowOff>
    </xdr:from>
    <xdr:ext cx="161925" cy="228600"/>
    <xdr:sp>
      <xdr:nvSpPr>
        <xdr:cNvPr id="51" name="TextBox 983"/>
        <xdr:cNvSpPr txBox="1">
          <a:spLocks noChangeArrowheads="1"/>
        </xdr:cNvSpPr>
      </xdr:nvSpPr>
      <xdr:spPr>
        <a:xfrm>
          <a:off x="7477125" y="477202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10</xdr:col>
      <xdr:colOff>304800</xdr:colOff>
      <xdr:row>18</xdr:row>
      <xdr:rowOff>66675</xdr:rowOff>
    </xdr:from>
    <xdr:ext cx="161925" cy="228600"/>
    <xdr:sp>
      <xdr:nvSpPr>
        <xdr:cNvPr id="52" name="TextBox 984"/>
        <xdr:cNvSpPr txBox="1">
          <a:spLocks noChangeArrowheads="1"/>
        </xdr:cNvSpPr>
      </xdr:nvSpPr>
      <xdr:spPr>
        <a:xfrm>
          <a:off x="7820025" y="368617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9</xdr:col>
      <xdr:colOff>466725</xdr:colOff>
      <xdr:row>12</xdr:row>
      <xdr:rowOff>142875</xdr:rowOff>
    </xdr:from>
    <xdr:ext cx="171450" cy="228600"/>
    <xdr:sp>
      <xdr:nvSpPr>
        <xdr:cNvPr id="53" name="TextBox 985"/>
        <xdr:cNvSpPr txBox="1">
          <a:spLocks noChangeArrowheads="1"/>
        </xdr:cNvSpPr>
      </xdr:nvSpPr>
      <xdr:spPr>
        <a:xfrm>
          <a:off x="7296150" y="2676525"/>
          <a:ext cx="1714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8</xdr:col>
      <xdr:colOff>76200</xdr:colOff>
      <xdr:row>11</xdr:row>
      <xdr:rowOff>0</xdr:rowOff>
    </xdr:from>
    <xdr:ext cx="161925" cy="228600"/>
    <xdr:sp>
      <xdr:nvSpPr>
        <xdr:cNvPr id="54" name="TextBox 986"/>
        <xdr:cNvSpPr txBox="1">
          <a:spLocks noChangeArrowheads="1"/>
        </xdr:cNvSpPr>
      </xdr:nvSpPr>
      <xdr:spPr>
        <a:xfrm>
          <a:off x="6219825" y="2352675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6</xdr:col>
      <xdr:colOff>447675</xdr:colOff>
      <xdr:row>13</xdr:row>
      <xdr:rowOff>142875</xdr:rowOff>
    </xdr:from>
    <xdr:ext cx="161925" cy="228600"/>
    <xdr:sp>
      <xdr:nvSpPr>
        <xdr:cNvPr id="55" name="TextBox 987"/>
        <xdr:cNvSpPr txBox="1">
          <a:spLocks noChangeArrowheads="1"/>
        </xdr:cNvSpPr>
      </xdr:nvSpPr>
      <xdr:spPr>
        <a:xfrm>
          <a:off x="5219700" y="285750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6</xdr:col>
      <xdr:colOff>104775</xdr:colOff>
      <xdr:row>19</xdr:row>
      <xdr:rowOff>142875</xdr:rowOff>
    </xdr:from>
    <xdr:ext cx="161925" cy="228600"/>
    <xdr:sp>
      <xdr:nvSpPr>
        <xdr:cNvPr id="56" name="TextBox 988"/>
        <xdr:cNvSpPr txBox="1">
          <a:spLocks noChangeArrowheads="1"/>
        </xdr:cNvSpPr>
      </xdr:nvSpPr>
      <xdr:spPr>
        <a:xfrm>
          <a:off x="4876800" y="394335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6</xdr:col>
      <xdr:colOff>638175</xdr:colOff>
      <xdr:row>25</xdr:row>
      <xdr:rowOff>66675</xdr:rowOff>
    </xdr:from>
    <xdr:ext cx="161925" cy="228600"/>
    <xdr:sp>
      <xdr:nvSpPr>
        <xdr:cNvPr id="57" name="TextBox 989"/>
        <xdr:cNvSpPr txBox="1">
          <a:spLocks noChangeArrowheads="1"/>
        </xdr:cNvSpPr>
      </xdr:nvSpPr>
      <xdr:spPr>
        <a:xfrm>
          <a:off x="5410200" y="4953000"/>
          <a:ext cx="1619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8</xdr:col>
      <xdr:colOff>571500</xdr:colOff>
      <xdr:row>23</xdr:row>
      <xdr:rowOff>0</xdr:rowOff>
    </xdr:from>
    <xdr:ext cx="238125" cy="228600"/>
    <xdr:sp>
      <xdr:nvSpPr>
        <xdr:cNvPr id="58" name="TextBox 990"/>
        <xdr:cNvSpPr txBox="1">
          <a:spLocks noChangeArrowheads="1"/>
        </xdr:cNvSpPr>
      </xdr:nvSpPr>
      <xdr:spPr>
        <a:xfrm>
          <a:off x="6715125" y="452437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9</xdr:col>
      <xdr:colOff>295275</xdr:colOff>
      <xdr:row>20</xdr:row>
      <xdr:rowOff>66675</xdr:rowOff>
    </xdr:from>
    <xdr:ext cx="238125" cy="228600"/>
    <xdr:sp>
      <xdr:nvSpPr>
        <xdr:cNvPr id="59" name="TextBox 991"/>
        <xdr:cNvSpPr txBox="1">
          <a:spLocks noChangeArrowheads="1"/>
        </xdr:cNvSpPr>
      </xdr:nvSpPr>
      <xdr:spPr>
        <a:xfrm>
          <a:off x="7124700" y="404812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238125" cy="228600"/>
    <xdr:sp>
      <xdr:nvSpPr>
        <xdr:cNvPr id="60" name="TextBox 992"/>
        <xdr:cNvSpPr txBox="1">
          <a:spLocks noChangeArrowheads="1"/>
        </xdr:cNvSpPr>
      </xdr:nvSpPr>
      <xdr:spPr>
        <a:xfrm>
          <a:off x="7058025" y="343852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8</xdr:col>
      <xdr:colOff>447675</xdr:colOff>
      <xdr:row>14</xdr:row>
      <xdr:rowOff>152400</xdr:rowOff>
    </xdr:from>
    <xdr:ext cx="238125" cy="238125"/>
    <xdr:sp>
      <xdr:nvSpPr>
        <xdr:cNvPr id="61" name="TextBox 993"/>
        <xdr:cNvSpPr txBox="1">
          <a:spLocks noChangeArrowheads="1"/>
        </xdr:cNvSpPr>
      </xdr:nvSpPr>
      <xdr:spPr>
        <a:xfrm>
          <a:off x="6591300" y="3048000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7</xdr:col>
      <xdr:colOff>523875</xdr:colOff>
      <xdr:row>15</xdr:row>
      <xdr:rowOff>28575</xdr:rowOff>
    </xdr:from>
    <xdr:ext cx="238125" cy="228600"/>
    <xdr:sp>
      <xdr:nvSpPr>
        <xdr:cNvPr id="62" name="TextBox 994"/>
        <xdr:cNvSpPr txBox="1">
          <a:spLocks noChangeArrowheads="1"/>
        </xdr:cNvSpPr>
      </xdr:nvSpPr>
      <xdr:spPr>
        <a:xfrm>
          <a:off x="5981700" y="310515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7</xdr:col>
      <xdr:colOff>142875</xdr:colOff>
      <xdr:row>17</xdr:row>
      <xdr:rowOff>142875</xdr:rowOff>
    </xdr:from>
    <xdr:ext cx="238125" cy="228600"/>
    <xdr:sp>
      <xdr:nvSpPr>
        <xdr:cNvPr id="63" name="TextBox 995"/>
        <xdr:cNvSpPr txBox="1">
          <a:spLocks noChangeArrowheads="1"/>
        </xdr:cNvSpPr>
      </xdr:nvSpPr>
      <xdr:spPr>
        <a:xfrm>
          <a:off x="5600700" y="358140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7</xdr:col>
      <xdr:colOff>180975</xdr:colOff>
      <xdr:row>21</xdr:row>
      <xdr:rowOff>28575</xdr:rowOff>
    </xdr:from>
    <xdr:ext cx="238125" cy="228600"/>
    <xdr:sp>
      <xdr:nvSpPr>
        <xdr:cNvPr id="64" name="TextBox 996"/>
        <xdr:cNvSpPr txBox="1">
          <a:spLocks noChangeArrowheads="1"/>
        </xdr:cNvSpPr>
      </xdr:nvSpPr>
      <xdr:spPr>
        <a:xfrm>
          <a:off x="5638800" y="419100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7</xdr:col>
      <xdr:colOff>647700</xdr:colOff>
      <xdr:row>23</xdr:row>
      <xdr:rowOff>47625</xdr:rowOff>
    </xdr:from>
    <xdr:ext cx="238125" cy="238125"/>
    <xdr:sp>
      <xdr:nvSpPr>
        <xdr:cNvPr id="65" name="TextBox 997"/>
        <xdr:cNvSpPr txBox="1">
          <a:spLocks noChangeArrowheads="1"/>
        </xdr:cNvSpPr>
      </xdr:nvSpPr>
      <xdr:spPr>
        <a:xfrm>
          <a:off x="6105525" y="4572000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8</xdr:col>
      <xdr:colOff>390525</xdr:colOff>
      <xdr:row>30</xdr:row>
      <xdr:rowOff>104775</xdr:rowOff>
    </xdr:from>
    <xdr:ext cx="247650" cy="228600"/>
    <xdr:sp>
      <xdr:nvSpPr>
        <xdr:cNvPr id="66" name="TextBox 998"/>
        <xdr:cNvSpPr txBox="1">
          <a:spLocks noChangeArrowheads="1"/>
        </xdr:cNvSpPr>
      </xdr:nvSpPr>
      <xdr:spPr>
        <a:xfrm>
          <a:off x="6534150" y="5895975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10</xdr:col>
      <xdr:colOff>428625</xdr:colOff>
      <xdr:row>26</xdr:row>
      <xdr:rowOff>85725</xdr:rowOff>
    </xdr:from>
    <xdr:ext cx="247650" cy="238125"/>
    <xdr:sp>
      <xdr:nvSpPr>
        <xdr:cNvPr id="67" name="TextBox 999"/>
        <xdr:cNvSpPr txBox="1">
          <a:spLocks noChangeArrowheads="1"/>
        </xdr:cNvSpPr>
      </xdr:nvSpPr>
      <xdr:spPr>
        <a:xfrm>
          <a:off x="7943850" y="5153025"/>
          <a:ext cx="2476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11</xdr:col>
      <xdr:colOff>228600</xdr:colOff>
      <xdr:row>18</xdr:row>
      <xdr:rowOff>9525</xdr:rowOff>
    </xdr:from>
    <xdr:ext cx="238125" cy="238125"/>
    <xdr:sp>
      <xdr:nvSpPr>
        <xdr:cNvPr id="68" name="TextBox 1000"/>
        <xdr:cNvSpPr txBox="1">
          <a:spLocks noChangeArrowheads="1"/>
        </xdr:cNvSpPr>
      </xdr:nvSpPr>
      <xdr:spPr>
        <a:xfrm>
          <a:off x="8429625" y="3629025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10</xdr:col>
      <xdr:colOff>180975</xdr:colOff>
      <xdr:row>10</xdr:row>
      <xdr:rowOff>38100</xdr:rowOff>
    </xdr:from>
    <xdr:ext cx="238125" cy="228600"/>
    <xdr:sp>
      <xdr:nvSpPr>
        <xdr:cNvPr id="69" name="TextBox 1001"/>
        <xdr:cNvSpPr txBox="1">
          <a:spLocks noChangeArrowheads="1"/>
        </xdr:cNvSpPr>
      </xdr:nvSpPr>
      <xdr:spPr>
        <a:xfrm>
          <a:off x="7696200" y="220980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8</xdr:col>
      <xdr:colOff>28575</xdr:colOff>
      <xdr:row>7</xdr:row>
      <xdr:rowOff>104775</xdr:rowOff>
    </xdr:from>
    <xdr:ext cx="238125" cy="228600"/>
    <xdr:sp>
      <xdr:nvSpPr>
        <xdr:cNvPr id="70" name="TextBox 1002"/>
        <xdr:cNvSpPr txBox="1">
          <a:spLocks noChangeArrowheads="1"/>
        </xdr:cNvSpPr>
      </xdr:nvSpPr>
      <xdr:spPr>
        <a:xfrm>
          <a:off x="6172200" y="173355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5</xdr:col>
      <xdr:colOff>676275</xdr:colOff>
      <xdr:row>11</xdr:row>
      <xdr:rowOff>114300</xdr:rowOff>
    </xdr:from>
    <xdr:ext cx="238125" cy="228600"/>
    <xdr:sp>
      <xdr:nvSpPr>
        <xdr:cNvPr id="71" name="TextBox 1003"/>
        <xdr:cNvSpPr txBox="1">
          <a:spLocks noChangeArrowheads="1"/>
        </xdr:cNvSpPr>
      </xdr:nvSpPr>
      <xdr:spPr>
        <a:xfrm>
          <a:off x="4762500" y="246697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5</xdr:col>
      <xdr:colOff>190500</xdr:colOff>
      <xdr:row>20</xdr:row>
      <xdr:rowOff>9525</xdr:rowOff>
    </xdr:from>
    <xdr:ext cx="238125" cy="238125"/>
    <xdr:sp>
      <xdr:nvSpPr>
        <xdr:cNvPr id="72" name="TextBox 1004"/>
        <xdr:cNvSpPr txBox="1">
          <a:spLocks noChangeArrowheads="1"/>
        </xdr:cNvSpPr>
      </xdr:nvSpPr>
      <xdr:spPr>
        <a:xfrm>
          <a:off x="4276725" y="3990975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6</xdr:col>
      <xdr:colOff>238125</xdr:colOff>
      <xdr:row>27</xdr:row>
      <xdr:rowOff>161925</xdr:rowOff>
    </xdr:from>
    <xdr:ext cx="247650" cy="238125"/>
    <xdr:sp>
      <xdr:nvSpPr>
        <xdr:cNvPr id="73" name="TextBox 1005"/>
        <xdr:cNvSpPr txBox="1">
          <a:spLocks noChangeArrowheads="1"/>
        </xdr:cNvSpPr>
      </xdr:nvSpPr>
      <xdr:spPr>
        <a:xfrm>
          <a:off x="5010150" y="5410200"/>
          <a:ext cx="2476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9</xdr:col>
      <xdr:colOff>409575</xdr:colOff>
      <xdr:row>28</xdr:row>
      <xdr:rowOff>85725</xdr:rowOff>
    </xdr:from>
    <xdr:ext cx="238125" cy="238125"/>
    <xdr:sp>
      <xdr:nvSpPr>
        <xdr:cNvPr id="74" name="TextBox 1006"/>
        <xdr:cNvSpPr txBox="1">
          <a:spLocks noChangeArrowheads="1"/>
        </xdr:cNvSpPr>
      </xdr:nvSpPr>
      <xdr:spPr>
        <a:xfrm>
          <a:off x="7239000" y="5514975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oneCellAnchor>
  <xdr:oneCellAnchor>
    <xdr:from>
      <xdr:col>10</xdr:col>
      <xdr:colOff>676275</xdr:colOff>
      <xdr:row>22</xdr:row>
      <xdr:rowOff>47625</xdr:rowOff>
    </xdr:from>
    <xdr:ext cx="238125" cy="238125"/>
    <xdr:sp>
      <xdr:nvSpPr>
        <xdr:cNvPr id="75" name="TextBox 1007"/>
        <xdr:cNvSpPr txBox="1">
          <a:spLocks noChangeArrowheads="1"/>
        </xdr:cNvSpPr>
      </xdr:nvSpPr>
      <xdr:spPr>
        <a:xfrm>
          <a:off x="8191500" y="4391025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oneCellAnchor>
  <xdr:oneCellAnchor>
    <xdr:from>
      <xdr:col>10</xdr:col>
      <xdr:colOff>542925</xdr:colOff>
      <xdr:row>14</xdr:row>
      <xdr:rowOff>28575</xdr:rowOff>
    </xdr:from>
    <xdr:ext cx="247650" cy="228600"/>
    <xdr:sp>
      <xdr:nvSpPr>
        <xdr:cNvPr id="76" name="TextBox 1008"/>
        <xdr:cNvSpPr txBox="1">
          <a:spLocks noChangeArrowheads="1"/>
        </xdr:cNvSpPr>
      </xdr:nvSpPr>
      <xdr:spPr>
        <a:xfrm>
          <a:off x="8058150" y="2924175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oneCellAnchor>
  <xdr:oneCellAnchor>
    <xdr:from>
      <xdr:col>9</xdr:col>
      <xdr:colOff>104775</xdr:colOff>
      <xdr:row>8</xdr:row>
      <xdr:rowOff>161925</xdr:rowOff>
    </xdr:from>
    <xdr:ext cx="238125" cy="238125"/>
    <xdr:sp>
      <xdr:nvSpPr>
        <xdr:cNvPr id="77" name="TextBox 1009"/>
        <xdr:cNvSpPr txBox="1">
          <a:spLocks noChangeArrowheads="1"/>
        </xdr:cNvSpPr>
      </xdr:nvSpPr>
      <xdr:spPr>
        <a:xfrm>
          <a:off x="6934200" y="1971675"/>
          <a:ext cx="2381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oneCellAnchor>
  <xdr:oneCellAnchor>
    <xdr:from>
      <xdr:col>7</xdr:col>
      <xdr:colOff>0</xdr:colOff>
      <xdr:row>9</xdr:row>
      <xdr:rowOff>114300</xdr:rowOff>
    </xdr:from>
    <xdr:ext cx="238125" cy="228600"/>
    <xdr:sp>
      <xdr:nvSpPr>
        <xdr:cNvPr id="78" name="TextBox 1010"/>
        <xdr:cNvSpPr txBox="1">
          <a:spLocks noChangeArrowheads="1"/>
        </xdr:cNvSpPr>
      </xdr:nvSpPr>
      <xdr:spPr>
        <a:xfrm>
          <a:off x="5457825" y="2105025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5</xdr:col>
      <xdr:colOff>428625</xdr:colOff>
      <xdr:row>15</xdr:row>
      <xdr:rowOff>152400</xdr:rowOff>
    </xdr:from>
    <xdr:ext cx="247650" cy="238125"/>
    <xdr:sp>
      <xdr:nvSpPr>
        <xdr:cNvPr id="79" name="TextBox 1011"/>
        <xdr:cNvSpPr txBox="1">
          <a:spLocks noChangeArrowheads="1"/>
        </xdr:cNvSpPr>
      </xdr:nvSpPr>
      <xdr:spPr>
        <a:xfrm>
          <a:off x="4514850" y="3228975"/>
          <a:ext cx="2476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5</xdr:col>
      <xdr:colOff>561975</xdr:colOff>
      <xdr:row>24</xdr:row>
      <xdr:rowOff>0</xdr:rowOff>
    </xdr:from>
    <xdr:ext cx="238125" cy="228600"/>
    <xdr:sp>
      <xdr:nvSpPr>
        <xdr:cNvPr id="80" name="TextBox 1012"/>
        <xdr:cNvSpPr txBox="1">
          <a:spLocks noChangeArrowheads="1"/>
        </xdr:cNvSpPr>
      </xdr:nvSpPr>
      <xdr:spPr>
        <a:xfrm>
          <a:off x="4648200" y="4705350"/>
          <a:ext cx="2381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7</xdr:col>
      <xdr:colOff>314325</xdr:colOff>
      <xdr:row>29</xdr:row>
      <xdr:rowOff>38100</xdr:rowOff>
    </xdr:from>
    <xdr:ext cx="247650" cy="228600"/>
    <xdr:sp>
      <xdr:nvSpPr>
        <xdr:cNvPr id="81" name="TextBox 1013"/>
        <xdr:cNvSpPr txBox="1">
          <a:spLocks noChangeArrowheads="1"/>
        </xdr:cNvSpPr>
      </xdr:nvSpPr>
      <xdr:spPr>
        <a:xfrm>
          <a:off x="5772150" y="5648325"/>
          <a:ext cx="2476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_OR"/>
  <dimension ref="A1:L11"/>
  <sheetViews>
    <sheetView zoomScale="75" zoomScaleNormal="75" workbookViewId="0" topLeftCell="A1">
      <selection activeCell="F1" sqref="F1:L1"/>
    </sheetView>
  </sheetViews>
  <sheetFormatPr defaultColWidth="9.00390625" defaultRowHeight="14.25"/>
  <cols>
    <col min="1" max="1" width="12.75390625" style="0" customWidth="1"/>
  </cols>
  <sheetData>
    <row r="1" spans="1:12" s="1" customFormat="1" ht="42" customHeight="1">
      <c r="A1" s="34" t="s">
        <v>0</v>
      </c>
      <c r="B1" s="34"/>
      <c r="C1" s="34"/>
      <c r="D1" s="34"/>
      <c r="E1" s="34"/>
      <c r="F1" s="34">
        <f>(SQRT(5)-1)/2</f>
        <v>0.6180339887498949</v>
      </c>
      <c r="G1" s="34"/>
      <c r="H1" s="34"/>
      <c r="I1" s="34"/>
      <c r="J1" s="34"/>
      <c r="K1" s="34"/>
      <c r="L1" s="34"/>
    </row>
    <row r="3" spans="1:4" ht="14.25">
      <c r="A3" s="35" t="s">
        <v>1</v>
      </c>
      <c r="B3" s="35"/>
      <c r="C3" s="35"/>
      <c r="D3" s="35"/>
    </row>
    <row r="4" spans="1:4" ht="14.25">
      <c r="A4" s="2" t="s">
        <v>2</v>
      </c>
      <c r="B4" s="3" t="s">
        <v>3</v>
      </c>
      <c r="C4" s="3" t="s">
        <v>4</v>
      </c>
      <c r="D4" s="4" t="s">
        <v>5</v>
      </c>
    </row>
    <row r="5" spans="1:4" ht="14.25">
      <c r="A5" s="5">
        <v>1</v>
      </c>
      <c r="B5" s="6">
        <f>A5*OR</f>
        <v>0.6180339887498949</v>
      </c>
      <c r="C5" s="6">
        <f>A5/B5</f>
        <v>1.6180339887498947</v>
      </c>
      <c r="D5" s="7">
        <f>SQRT(POWER(A5,2)+POWER(B5,2))/2</f>
        <v>0.5877852522924731</v>
      </c>
    </row>
    <row r="6" spans="1:4" ht="14.25">
      <c r="A6" s="5">
        <v>0.618</v>
      </c>
      <c r="B6" s="6">
        <f aca="true" t="shared" si="0" ref="B6:B11">A6*OR</f>
        <v>0.38194500504743506</v>
      </c>
      <c r="C6" s="6">
        <f aca="true" t="shared" si="1" ref="C6:C11">A6/B6</f>
        <v>1.6180339887498947</v>
      </c>
      <c r="D6" s="7">
        <f aca="true" t="shared" si="2" ref="D6:D11">SQRT(POWER(A6,2)+POWER(B6,2))/2</f>
        <v>0.3632512859167484</v>
      </c>
    </row>
    <row r="7" spans="1:4" ht="14.25">
      <c r="A7" s="5">
        <v>1.618</v>
      </c>
      <c r="B7" s="6">
        <f t="shared" si="0"/>
        <v>0.99997899379733</v>
      </c>
      <c r="C7" s="6">
        <f t="shared" si="1"/>
        <v>1.6180339887498947</v>
      </c>
      <c r="D7" s="7">
        <f t="shared" si="2"/>
        <v>0.9510365382092216</v>
      </c>
    </row>
    <row r="8" spans="1:4" ht="14.25">
      <c r="A8" s="5">
        <v>2</v>
      </c>
      <c r="B8" s="6">
        <f t="shared" si="0"/>
        <v>1.2360679774997898</v>
      </c>
      <c r="C8" s="6">
        <f t="shared" si="1"/>
        <v>1.6180339887498947</v>
      </c>
      <c r="D8" s="7">
        <f t="shared" si="2"/>
        <v>1.1755705045849463</v>
      </c>
    </row>
    <row r="9" spans="1:4" ht="14.25">
      <c r="A9" s="5">
        <v>3</v>
      </c>
      <c r="B9" s="6">
        <f t="shared" si="0"/>
        <v>1.8541019662496847</v>
      </c>
      <c r="C9" s="6">
        <f t="shared" si="1"/>
        <v>1.6180339887498947</v>
      </c>
      <c r="D9" s="7">
        <f t="shared" si="2"/>
        <v>1.7633557568774194</v>
      </c>
    </row>
    <row r="10" spans="1:4" ht="14.25">
      <c r="A10" s="5">
        <v>4</v>
      </c>
      <c r="B10" s="6">
        <f t="shared" si="0"/>
        <v>2.4721359549995796</v>
      </c>
      <c r="C10" s="6">
        <f t="shared" si="1"/>
        <v>1.6180339887498947</v>
      </c>
      <c r="D10" s="7">
        <f t="shared" si="2"/>
        <v>2.3511410091698925</v>
      </c>
    </row>
    <row r="11" spans="1:4" ht="14.25">
      <c r="A11" s="8">
        <v>5</v>
      </c>
      <c r="B11" s="9">
        <f t="shared" si="0"/>
        <v>3.0901699437494745</v>
      </c>
      <c r="C11" s="9">
        <f t="shared" si="1"/>
        <v>1.6180339887498947</v>
      </c>
      <c r="D11" s="10">
        <f t="shared" si="2"/>
        <v>2.9389262614623655</v>
      </c>
    </row>
  </sheetData>
  <mergeCells count="3">
    <mergeCell ref="A1:E1"/>
    <mergeCell ref="A3:D3"/>
    <mergeCell ref="F1:L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G"/>
  <dimension ref="A1:L11"/>
  <sheetViews>
    <sheetView zoomScale="75" zoomScaleNormal="75" workbookViewId="0" topLeftCell="A1">
      <selection activeCell="B14" sqref="B14"/>
    </sheetView>
  </sheetViews>
  <sheetFormatPr defaultColWidth="9.00390625" defaultRowHeight="14.25"/>
  <cols>
    <col min="1" max="1" width="12.75390625" style="0" customWidth="1"/>
  </cols>
  <sheetData>
    <row r="1" spans="1:12" s="1" customFormat="1" ht="42" customHeight="1">
      <c r="A1" s="34" t="s">
        <v>6</v>
      </c>
      <c r="B1" s="34"/>
      <c r="C1" s="34"/>
      <c r="D1" s="34"/>
      <c r="E1" s="34"/>
      <c r="F1" s="34">
        <v>0.5</v>
      </c>
      <c r="G1" s="34"/>
      <c r="H1" s="34"/>
      <c r="I1" s="34"/>
      <c r="J1" s="34"/>
      <c r="K1" s="34"/>
      <c r="L1" s="34"/>
    </row>
    <row r="3" spans="1:4" ht="14.25">
      <c r="A3" s="35" t="s">
        <v>1</v>
      </c>
      <c r="B3" s="35"/>
      <c r="C3" s="35"/>
      <c r="D3" s="35"/>
    </row>
    <row r="4" spans="1:4" ht="14.25">
      <c r="A4" s="2" t="s">
        <v>2</v>
      </c>
      <c r="B4" s="3" t="s">
        <v>3</v>
      </c>
      <c r="C4" s="3" t="s">
        <v>4</v>
      </c>
      <c r="D4" s="4" t="s">
        <v>5</v>
      </c>
    </row>
    <row r="5" spans="1:4" ht="14.25">
      <c r="A5" s="5">
        <v>1</v>
      </c>
      <c r="B5" s="6">
        <f aca="true" t="shared" si="0" ref="B5:B11">A5*OR</f>
        <v>0.5</v>
      </c>
      <c r="C5" s="6">
        <f aca="true" t="shared" si="1" ref="C5:C11">A5/B5</f>
        <v>2</v>
      </c>
      <c r="D5" s="7">
        <f aca="true" t="shared" si="2" ref="D5:D11">SQRT(POWER(A5,2)+POWER(B5,2))/2</f>
        <v>0.5590169943749475</v>
      </c>
    </row>
    <row r="6" spans="1:4" ht="14.25">
      <c r="A6" s="5">
        <v>0.618</v>
      </c>
      <c r="B6" s="6">
        <f t="shared" si="0"/>
        <v>0.309</v>
      </c>
      <c r="C6" s="6">
        <f t="shared" si="1"/>
        <v>2</v>
      </c>
      <c r="D6" s="7">
        <f t="shared" si="2"/>
        <v>0.3454725025237175</v>
      </c>
    </row>
    <row r="7" spans="1:4" ht="14.25">
      <c r="A7" s="5">
        <v>1.618</v>
      </c>
      <c r="B7" s="6">
        <f t="shared" si="0"/>
        <v>0.809</v>
      </c>
      <c r="C7" s="6">
        <f t="shared" si="1"/>
        <v>2</v>
      </c>
      <c r="D7" s="7">
        <f t="shared" si="2"/>
        <v>0.904489496898665</v>
      </c>
    </row>
    <row r="8" spans="1:4" ht="14.25">
      <c r="A8" s="5">
        <v>2</v>
      </c>
      <c r="B8" s="6">
        <f t="shared" si="0"/>
        <v>1</v>
      </c>
      <c r="C8" s="6">
        <f t="shared" si="1"/>
        <v>2</v>
      </c>
      <c r="D8" s="7">
        <f t="shared" si="2"/>
        <v>1.118033988749895</v>
      </c>
    </row>
    <row r="9" spans="1:4" ht="14.25">
      <c r="A9" s="5">
        <v>3</v>
      </c>
      <c r="B9" s="6">
        <f t="shared" si="0"/>
        <v>1.5</v>
      </c>
      <c r="C9" s="6">
        <f t="shared" si="1"/>
        <v>2</v>
      </c>
      <c r="D9" s="7">
        <f t="shared" si="2"/>
        <v>1.6770509831248424</v>
      </c>
    </row>
    <row r="10" spans="1:4" ht="14.25">
      <c r="A10" s="5">
        <v>4</v>
      </c>
      <c r="B10" s="6">
        <f t="shared" si="0"/>
        <v>2</v>
      </c>
      <c r="C10" s="6">
        <f t="shared" si="1"/>
        <v>2</v>
      </c>
      <c r="D10" s="7">
        <f t="shared" si="2"/>
        <v>2.23606797749979</v>
      </c>
    </row>
    <row r="11" spans="1:4" ht="14.25">
      <c r="A11" s="8">
        <v>5</v>
      </c>
      <c r="B11" s="9">
        <f t="shared" si="0"/>
        <v>2.5</v>
      </c>
      <c r="C11" s="9">
        <f t="shared" si="1"/>
        <v>2</v>
      </c>
      <c r="D11" s="10">
        <f t="shared" si="2"/>
        <v>2.7950849718747373</v>
      </c>
    </row>
  </sheetData>
  <mergeCells count="3">
    <mergeCell ref="A1:E1"/>
    <mergeCell ref="A3:D3"/>
    <mergeCell ref="F1:L1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R"/>
  <dimension ref="A1:L11"/>
  <sheetViews>
    <sheetView zoomScale="75" zoomScaleNormal="75" workbookViewId="0" topLeftCell="A1">
      <selection activeCell="F1" sqref="F1:L1"/>
    </sheetView>
  </sheetViews>
  <sheetFormatPr defaultColWidth="9.00390625" defaultRowHeight="14.25"/>
  <cols>
    <col min="1" max="1" width="12.75390625" style="0" customWidth="1"/>
  </cols>
  <sheetData>
    <row r="1" spans="1:12" s="1" customFormat="1" ht="42" customHeight="1">
      <c r="A1" s="34" t="s">
        <v>7</v>
      </c>
      <c r="B1" s="34"/>
      <c r="C1" s="34"/>
      <c r="D1" s="34"/>
      <c r="E1" s="34"/>
      <c r="F1" s="34">
        <f>SQRT(2)/SQRT(3)</f>
        <v>0.8164965809277261</v>
      </c>
      <c r="G1" s="34"/>
      <c r="H1" s="34"/>
      <c r="I1" s="34"/>
      <c r="J1" s="34"/>
      <c r="K1" s="34"/>
      <c r="L1" s="34"/>
    </row>
    <row r="3" spans="1:4" ht="14.25">
      <c r="A3" s="35" t="s">
        <v>1</v>
      </c>
      <c r="B3" s="35"/>
      <c r="C3" s="35"/>
      <c r="D3" s="35"/>
    </row>
    <row r="4" spans="1:4" ht="14.25">
      <c r="A4" s="2" t="s">
        <v>2</v>
      </c>
      <c r="B4" s="3" t="s">
        <v>3</v>
      </c>
      <c r="C4" s="3" t="s">
        <v>4</v>
      </c>
      <c r="D4" s="4" t="s">
        <v>5</v>
      </c>
    </row>
    <row r="5" spans="1:4" ht="14.25">
      <c r="A5" s="5">
        <v>1</v>
      </c>
      <c r="B5" s="6">
        <f aca="true" t="shared" si="0" ref="B5:B11">A5*OR</f>
        <v>0.8164965809277261</v>
      </c>
      <c r="C5" s="6">
        <f aca="true" t="shared" si="1" ref="C5:C11">A5/B5</f>
        <v>1.224744871391589</v>
      </c>
      <c r="D5" s="7">
        <f aca="true" t="shared" si="2" ref="D5:D11">SQRT(POWER(A5,2)+POWER(B5,2))/2</f>
        <v>0.6454972243679029</v>
      </c>
    </row>
    <row r="6" spans="1:4" ht="14.25">
      <c r="A6" s="5">
        <v>0.618</v>
      </c>
      <c r="B6" s="6">
        <f t="shared" si="0"/>
        <v>0.5045948870133348</v>
      </c>
      <c r="C6" s="6">
        <f t="shared" si="1"/>
        <v>1.224744871391589</v>
      </c>
      <c r="D6" s="7">
        <f t="shared" si="2"/>
        <v>0.398917284659364</v>
      </c>
    </row>
    <row r="7" spans="1:4" ht="14.25">
      <c r="A7" s="5">
        <v>1.618</v>
      </c>
      <c r="B7" s="6">
        <f t="shared" si="0"/>
        <v>1.321091467941061</v>
      </c>
      <c r="C7" s="6">
        <f t="shared" si="1"/>
        <v>1.224744871391589</v>
      </c>
      <c r="D7" s="7">
        <f t="shared" si="2"/>
        <v>1.044414509027267</v>
      </c>
    </row>
    <row r="8" spans="1:4" ht="14.25">
      <c r="A8" s="5">
        <v>2</v>
      </c>
      <c r="B8" s="6">
        <f t="shared" si="0"/>
        <v>1.6329931618554523</v>
      </c>
      <c r="C8" s="6">
        <f t="shared" si="1"/>
        <v>1.224744871391589</v>
      </c>
      <c r="D8" s="7">
        <f t="shared" si="2"/>
        <v>1.2909944487358058</v>
      </c>
    </row>
    <row r="9" spans="1:4" ht="14.25">
      <c r="A9" s="5">
        <v>3</v>
      </c>
      <c r="B9" s="6">
        <f t="shared" si="0"/>
        <v>2.4494897427831783</v>
      </c>
      <c r="C9" s="6">
        <f t="shared" si="1"/>
        <v>1.224744871391589</v>
      </c>
      <c r="D9" s="7">
        <f t="shared" si="2"/>
        <v>1.9364916731037085</v>
      </c>
    </row>
    <row r="10" spans="1:4" ht="14.25">
      <c r="A10" s="5">
        <v>4</v>
      </c>
      <c r="B10" s="6">
        <f t="shared" si="0"/>
        <v>3.2659863237109046</v>
      </c>
      <c r="C10" s="6">
        <f t="shared" si="1"/>
        <v>1.224744871391589</v>
      </c>
      <c r="D10" s="7">
        <f t="shared" si="2"/>
        <v>2.5819888974716116</v>
      </c>
    </row>
    <row r="11" spans="1:4" ht="14.25">
      <c r="A11" s="8">
        <v>5</v>
      </c>
      <c r="B11" s="9">
        <f t="shared" si="0"/>
        <v>4.08248290463863</v>
      </c>
      <c r="C11" s="9">
        <f t="shared" si="1"/>
        <v>1.224744871391589</v>
      </c>
      <c r="D11" s="10">
        <f t="shared" si="2"/>
        <v>3.2274861218395143</v>
      </c>
    </row>
  </sheetData>
  <mergeCells count="3">
    <mergeCell ref="A1:E1"/>
    <mergeCell ref="A3:D3"/>
    <mergeCell ref="F1:L1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ordre3"/>
  <dimension ref="A1:R26"/>
  <sheetViews>
    <sheetView zoomScale="75" zoomScaleNormal="75" workbookViewId="0" topLeftCell="A1">
      <selection activeCell="E4" sqref="E4"/>
    </sheetView>
  </sheetViews>
  <sheetFormatPr defaultColWidth="9.00390625" defaultRowHeight="14.25"/>
  <cols>
    <col min="1" max="1" width="12.75390625" style="0" customWidth="1"/>
    <col min="2" max="4" width="10.625" style="0" customWidth="1"/>
    <col min="13" max="13" width="30.00390625" style="0" customWidth="1"/>
  </cols>
  <sheetData>
    <row r="1" spans="1:12" s="1" customFormat="1" ht="42" customHeight="1">
      <c r="A1" s="11" t="s">
        <v>8</v>
      </c>
      <c r="B1" s="11"/>
      <c r="C1" s="12">
        <v>3</v>
      </c>
      <c r="D1" s="11"/>
      <c r="E1" s="11"/>
      <c r="F1" s="36"/>
      <c r="G1" s="36"/>
      <c r="H1" s="36"/>
      <c r="I1" s="36"/>
      <c r="J1" s="36"/>
      <c r="K1" s="36"/>
      <c r="L1" s="36"/>
    </row>
    <row r="2" spans="13:16" ht="14.25">
      <c r="M2" t="s">
        <v>18</v>
      </c>
      <c r="N2">
        <f>2*RAP1</f>
        <v>1.2</v>
      </c>
      <c r="O2">
        <v>0</v>
      </c>
      <c r="P2">
        <f aca="true" t="shared" si="0" ref="P2:P8">RADIANS(O2)</f>
        <v>0</v>
      </c>
    </row>
    <row r="3" spans="1:16" ht="14.25">
      <c r="A3" s="14"/>
      <c r="B3" s="14"/>
      <c r="C3" s="14"/>
      <c r="D3" s="14"/>
      <c r="E3" s="13"/>
      <c r="M3" t="s">
        <v>19</v>
      </c>
      <c r="N3">
        <f>N2/(2*SQRT(3))</f>
        <v>0.34641016151377546</v>
      </c>
      <c r="O3">
        <v>60</v>
      </c>
      <c r="P3">
        <f t="shared" si="0"/>
        <v>1.0471975511965976</v>
      </c>
    </row>
    <row r="4" spans="1:16" ht="14.25">
      <c r="A4" s="37" t="s">
        <v>9</v>
      </c>
      <c r="B4" s="37"/>
      <c r="C4" s="37"/>
      <c r="D4" s="31">
        <v>0.6</v>
      </c>
      <c r="E4" s="16" t="s">
        <v>17</v>
      </c>
      <c r="F4" s="19">
        <f>SQRT(3)</f>
        <v>1.7320508075688772</v>
      </c>
      <c r="M4" t="s">
        <v>20</v>
      </c>
      <c r="N4">
        <f>SQRT(POWER(0.5,2)+POWER(RAP1/2,2))</f>
        <v>0.58309518948453</v>
      </c>
      <c r="O4">
        <v>120</v>
      </c>
      <c r="P4">
        <f t="shared" si="0"/>
        <v>2.0943951023931953</v>
      </c>
    </row>
    <row r="5" spans="1:16" ht="14.25">
      <c r="A5" s="6"/>
      <c r="B5" s="6"/>
      <c r="C5" s="6"/>
      <c r="D5" s="6"/>
      <c r="M5" t="s">
        <v>21</v>
      </c>
      <c r="N5">
        <f>SQRT(POWER(N4,2)-POWER(N3,2))</f>
        <v>0.46904157598234286</v>
      </c>
      <c r="O5">
        <v>180</v>
      </c>
      <c r="P5">
        <f t="shared" si="0"/>
        <v>3.141592653589793</v>
      </c>
    </row>
    <row r="6" spans="1:16" ht="14.25">
      <c r="A6" s="37" t="s">
        <v>10</v>
      </c>
      <c r="B6" s="37"/>
      <c r="C6" s="37"/>
      <c r="D6" s="24">
        <v>200</v>
      </c>
      <c r="M6" t="s">
        <v>22</v>
      </c>
      <c r="N6">
        <f>DEGREES(ACOS(N4/1))</f>
        <v>54.33146244247124</v>
      </c>
      <c r="O6">
        <v>240</v>
      </c>
      <c r="P6">
        <f t="shared" si="0"/>
        <v>4.1887902047863905</v>
      </c>
    </row>
    <row r="7" spans="1:16" ht="14.25">
      <c r="A7" s="6"/>
      <c r="B7" s="6"/>
      <c r="C7" s="6"/>
      <c r="D7" s="6"/>
      <c r="O7">
        <v>300</v>
      </c>
      <c r="P7">
        <f t="shared" si="0"/>
        <v>5.235987755982989</v>
      </c>
    </row>
    <row r="8" spans="1:16" ht="14.25">
      <c r="A8" s="15" t="s">
        <v>11</v>
      </c>
      <c r="B8" s="15"/>
      <c r="C8" s="15"/>
      <c r="D8" s="15"/>
      <c r="E8" s="22"/>
      <c r="O8">
        <v>360</v>
      </c>
      <c r="P8">
        <f t="shared" si="0"/>
        <v>6.283185307179586</v>
      </c>
    </row>
    <row r="9" spans="1:5" ht="14.25">
      <c r="A9" s="17" t="s">
        <v>12</v>
      </c>
      <c r="B9" s="17"/>
      <c r="C9" s="17"/>
      <c r="D9" s="17"/>
      <c r="E9" s="13"/>
    </row>
    <row r="10" spans="1:18" ht="14.25">
      <c r="A10" s="18" t="s">
        <v>13</v>
      </c>
      <c r="B10" s="18" t="s">
        <v>14</v>
      </c>
      <c r="C10" s="18" t="s">
        <v>15</v>
      </c>
      <c r="D10" s="18" t="s">
        <v>16</v>
      </c>
      <c r="E10" s="23"/>
      <c r="N10" s="20" t="s">
        <v>13</v>
      </c>
      <c r="O10" s="20" t="s">
        <v>14</v>
      </c>
      <c r="P10" s="20" t="s">
        <v>15</v>
      </c>
      <c r="Q10" s="20" t="s">
        <v>16</v>
      </c>
      <c r="R10" s="6"/>
    </row>
    <row r="11" spans="1:18" ht="14.25">
      <c r="A11" s="18">
        <v>1</v>
      </c>
      <c r="B11" s="21">
        <f>INDEX(sommets3,A11,1)*Long1</f>
        <v>0</v>
      </c>
      <c r="C11" s="21">
        <f>INDEX(sommets3,A11,2)*Long1</f>
        <v>0</v>
      </c>
      <c r="D11" s="21">
        <f>INDEX(sommets3,A11,3)*Long1</f>
        <v>0</v>
      </c>
      <c r="E11" s="23"/>
      <c r="N11" s="20">
        <v>1</v>
      </c>
      <c r="O11" s="20">
        <v>0</v>
      </c>
      <c r="P11" s="20">
        <v>0</v>
      </c>
      <c r="Q11" s="20">
        <v>0</v>
      </c>
      <c r="R11" s="6"/>
    </row>
    <row r="12" spans="1:18" ht="14.25">
      <c r="A12" s="18">
        <v>7</v>
      </c>
      <c r="B12" s="21">
        <f>INDEX(sommets3,A12,1)*Long1</f>
        <v>-60</v>
      </c>
      <c r="C12" s="21">
        <f>INDEX(sommets3,A12,2)*Long1</f>
        <v>-34.64101615137755</v>
      </c>
      <c r="D12" s="21">
        <f>INDEX(sommets3,A12,3)*Long1</f>
        <v>93.80831519646857</v>
      </c>
      <c r="E12" s="23"/>
      <c r="N12" s="20">
        <v>2</v>
      </c>
      <c r="O12" s="20">
        <v>0</v>
      </c>
      <c r="P12" s="20">
        <f>-N3</f>
        <v>-0.34641016151377546</v>
      </c>
      <c r="Q12" s="20">
        <f>2*N5</f>
        <v>0.9380831519646857</v>
      </c>
      <c r="R12" s="6"/>
    </row>
    <row r="13" spans="1:18" ht="14.25">
      <c r="A13" s="18">
        <v>2</v>
      </c>
      <c r="B13" s="21">
        <f>INDEX(sommets3,A13,1)*Long1</f>
        <v>0</v>
      </c>
      <c r="C13" s="21">
        <f>INDEX(sommets3,A13,2)*Long1</f>
        <v>-69.2820323027551</v>
      </c>
      <c r="D13" s="21">
        <f>INDEX(sommets3,A13,3)*Long1</f>
        <v>187.61663039293714</v>
      </c>
      <c r="E13" s="23"/>
      <c r="N13" s="20">
        <v>3</v>
      </c>
      <c r="O13" s="20">
        <f>N3*SIN(P3)</f>
        <v>0.3</v>
      </c>
      <c r="P13" s="20">
        <f>-N3*COS(P3)</f>
        <v>-0.17320508075688776</v>
      </c>
      <c r="Q13" s="20">
        <f>N5</f>
        <v>0.46904157598234286</v>
      </c>
      <c r="R13" s="6"/>
    </row>
    <row r="14" spans="1:18" ht="14.25">
      <c r="A14" s="18">
        <v>3</v>
      </c>
      <c r="B14" s="21">
        <f>INDEX(sommets3,A14,1)*Long1</f>
        <v>60</v>
      </c>
      <c r="C14" s="21">
        <f>INDEX(sommets3,A14,2)*Long1</f>
        <v>-34.64101615137755</v>
      </c>
      <c r="D14" s="21">
        <f>INDEX(sommets3,A14,3)*Long1</f>
        <v>93.80831519646857</v>
      </c>
      <c r="E14" s="23"/>
      <c r="N14" s="20">
        <v>4</v>
      </c>
      <c r="O14" s="20">
        <f>N3*SIN(P4)</f>
        <v>0.30000000000000004</v>
      </c>
      <c r="P14" s="20">
        <f>-N3*COS(P4)</f>
        <v>0.17320508075688765</v>
      </c>
      <c r="Q14" s="20">
        <f>N5*2</f>
        <v>0.9380831519646857</v>
      </c>
      <c r="R14" s="6"/>
    </row>
    <row r="15" spans="1:18" ht="14.25">
      <c r="A15" s="17" t="s">
        <v>23</v>
      </c>
      <c r="B15" s="17"/>
      <c r="C15" s="17"/>
      <c r="D15" s="17"/>
      <c r="E15" s="23"/>
      <c r="N15" s="20">
        <v>5</v>
      </c>
      <c r="O15" s="20">
        <v>0</v>
      </c>
      <c r="P15" s="20">
        <f>N3</f>
        <v>0.34641016151377546</v>
      </c>
      <c r="Q15" s="20">
        <f>N5</f>
        <v>0.46904157598234286</v>
      </c>
      <c r="R15" s="6"/>
    </row>
    <row r="16" spans="1:18" ht="14.25">
      <c r="A16" s="18" t="s">
        <v>13</v>
      </c>
      <c r="B16" s="18" t="s">
        <v>14</v>
      </c>
      <c r="C16" s="18" t="s">
        <v>15</v>
      </c>
      <c r="D16" s="18" t="s">
        <v>16</v>
      </c>
      <c r="E16" s="23"/>
      <c r="N16" s="20">
        <v>6</v>
      </c>
      <c r="O16" s="20">
        <f>N3*SIN(P6)</f>
        <v>-0.29999999999999993</v>
      </c>
      <c r="P16" s="20">
        <f>-N3*COS(P6)</f>
        <v>0.1732050807568879</v>
      </c>
      <c r="Q16" s="20">
        <f>N5*2</f>
        <v>0.9380831519646857</v>
      </c>
      <c r="R16" s="6"/>
    </row>
    <row r="17" spans="1:18" ht="14.25">
      <c r="A17" s="18">
        <v>1</v>
      </c>
      <c r="B17" s="21">
        <f>INDEX(sommets3,A17,1)*Long1</f>
        <v>0</v>
      </c>
      <c r="C17" s="21">
        <f>INDEX(sommets3,A17,2)*Long1</f>
        <v>0</v>
      </c>
      <c r="D17" s="21">
        <f>INDEX(sommets3,A17,3)*Long1</f>
        <v>0</v>
      </c>
      <c r="E17" s="23"/>
      <c r="N17" s="20">
        <v>7</v>
      </c>
      <c r="O17" s="20">
        <f>N3*SIN(P7)</f>
        <v>-0.3</v>
      </c>
      <c r="P17" s="20">
        <f>-N3*COS(P7)</f>
        <v>-0.17320508075688776</v>
      </c>
      <c r="Q17" s="20">
        <f>N5</f>
        <v>0.46904157598234286</v>
      </c>
      <c r="R17" s="6"/>
    </row>
    <row r="18" spans="1:4" ht="14.25">
      <c r="A18" s="18">
        <v>3</v>
      </c>
      <c r="B18" s="21">
        <f>INDEX(sommets3,A18,1)*Long1</f>
        <v>60</v>
      </c>
      <c r="C18" s="21">
        <f>INDEX(sommets3,A18,2)*Long1</f>
        <v>-34.64101615137755</v>
      </c>
      <c r="D18" s="21">
        <f>INDEX(sommets3,A18,3)*Long1</f>
        <v>93.80831519646857</v>
      </c>
    </row>
    <row r="19" spans="1:4" ht="14.25">
      <c r="A19" s="18">
        <v>4</v>
      </c>
      <c r="B19" s="21">
        <f>INDEX(sommets3,A19,1)*Long1</f>
        <v>60.00000000000001</v>
      </c>
      <c r="C19" s="21">
        <f>INDEX(sommets3,A19,2)*Long1</f>
        <v>34.64101615137753</v>
      </c>
      <c r="D19" s="21">
        <f>INDEX(sommets3,A19,3)*Long1</f>
        <v>187.61663039293714</v>
      </c>
    </row>
    <row r="20" spans="1:4" ht="14.25">
      <c r="A20" s="18">
        <v>5</v>
      </c>
      <c r="B20" s="21">
        <f>INDEX(sommets3,A20,1)*Long1</f>
        <v>0</v>
      </c>
      <c r="C20" s="21">
        <f>INDEX(sommets3,A20,2)*Long1</f>
        <v>69.2820323027551</v>
      </c>
      <c r="D20" s="21">
        <f>INDEX(sommets3,A20,3)*Long1</f>
        <v>93.80831519646857</v>
      </c>
    </row>
    <row r="21" spans="1:4" ht="14.25">
      <c r="A21" s="17" t="s">
        <v>24</v>
      </c>
      <c r="B21" s="17"/>
      <c r="C21" s="17"/>
      <c r="D21" s="17"/>
    </row>
    <row r="22" spans="1:4" ht="14.25">
      <c r="A22" s="18" t="s">
        <v>13</v>
      </c>
      <c r="B22" s="18" t="s">
        <v>14</v>
      </c>
      <c r="C22" s="18" t="s">
        <v>15</v>
      </c>
      <c r="D22" s="18" t="s">
        <v>16</v>
      </c>
    </row>
    <row r="23" spans="1:4" ht="14.25">
      <c r="A23" s="18">
        <v>1</v>
      </c>
      <c r="B23" s="21">
        <f>INDEX(sommets3,A23,1)*Long1</f>
        <v>0</v>
      </c>
      <c r="C23" s="21">
        <f>INDEX(sommets3,A23,2)*Long1</f>
        <v>0</v>
      </c>
      <c r="D23" s="21">
        <f>INDEX(sommets3,A23,3)*Long1</f>
        <v>0</v>
      </c>
    </row>
    <row r="24" spans="1:4" ht="14.25">
      <c r="A24" s="18">
        <v>5</v>
      </c>
      <c r="B24" s="21">
        <f>INDEX(sommets3,A24,1)*Long1</f>
        <v>0</v>
      </c>
      <c r="C24" s="21">
        <f>INDEX(sommets3,A24,2)*Long1</f>
        <v>69.2820323027551</v>
      </c>
      <c r="D24" s="21">
        <f>INDEX(sommets3,A24,3)*Long1</f>
        <v>93.80831519646857</v>
      </c>
    </row>
    <row r="25" spans="1:4" ht="14.25">
      <c r="A25" s="18">
        <v>6</v>
      </c>
      <c r="B25" s="21">
        <f>INDEX(sommets3,A25,1)*Long1</f>
        <v>-59.999999999999986</v>
      </c>
      <c r="C25" s="21">
        <f>INDEX(sommets3,A25,2)*Long1</f>
        <v>34.64101615137758</v>
      </c>
      <c r="D25" s="21">
        <f>INDEX(sommets3,A25,3)*Long1</f>
        <v>187.61663039293714</v>
      </c>
    </row>
    <row r="26" spans="1:4" ht="14.25">
      <c r="A26" s="18">
        <v>7</v>
      </c>
      <c r="B26" s="21">
        <f>INDEX(sommets3,A26,1)*Long1</f>
        <v>-60</v>
      </c>
      <c r="C26" s="21">
        <f>INDEX(sommets3,A26,2)*Long1</f>
        <v>-34.64101615137755</v>
      </c>
      <c r="D26" s="21">
        <f>INDEX(sommets3,A26,3)*Long1</f>
        <v>93.80831519646857</v>
      </c>
    </row>
  </sheetData>
  <mergeCells count="3">
    <mergeCell ref="F1:L1"/>
    <mergeCell ref="A4:C4"/>
    <mergeCell ref="A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ordre4"/>
  <dimension ref="A1:R32"/>
  <sheetViews>
    <sheetView zoomScale="75" zoomScaleNormal="75" workbookViewId="0" topLeftCell="A1">
      <selection activeCell="O24" sqref="O24"/>
    </sheetView>
  </sheetViews>
  <sheetFormatPr defaultColWidth="9.00390625" defaultRowHeight="14.25"/>
  <cols>
    <col min="1" max="1" width="12.75390625" style="0" customWidth="1"/>
    <col min="2" max="4" width="10.625" style="0" customWidth="1"/>
    <col min="13" max="13" width="30.00390625" style="0" customWidth="1"/>
  </cols>
  <sheetData>
    <row r="1" spans="1:12" s="1" customFormat="1" ht="42" customHeight="1">
      <c r="A1" s="11" t="s">
        <v>8</v>
      </c>
      <c r="B1" s="11"/>
      <c r="C1" s="12">
        <v>4</v>
      </c>
      <c r="D1" s="11"/>
      <c r="E1" s="11"/>
      <c r="F1" s="36"/>
      <c r="G1" s="36"/>
      <c r="H1" s="36"/>
      <c r="I1" s="36"/>
      <c r="J1" s="36"/>
      <c r="K1" s="36"/>
      <c r="L1" s="36"/>
    </row>
    <row r="2" spans="13:14" ht="14.25">
      <c r="M2" t="s">
        <v>18</v>
      </c>
      <c r="N2">
        <f>RAP4</f>
        <v>0.9</v>
      </c>
    </row>
    <row r="3" spans="1:14" ht="14.25">
      <c r="A3" s="14"/>
      <c r="B3" s="14"/>
      <c r="C3" s="14"/>
      <c r="D3" s="14"/>
      <c r="E3" s="13"/>
      <c r="M3" t="s">
        <v>19</v>
      </c>
      <c r="N3">
        <f>N2/SQRT(2)</f>
        <v>0.6363961030678927</v>
      </c>
    </row>
    <row r="4" spans="1:14" ht="14.25">
      <c r="A4" s="37" t="s">
        <v>9</v>
      </c>
      <c r="B4" s="37"/>
      <c r="C4" s="37"/>
      <c r="D4" s="31">
        <v>0.9</v>
      </c>
      <c r="E4" s="16" t="s">
        <v>17</v>
      </c>
      <c r="F4" s="25">
        <v>1</v>
      </c>
      <c r="M4" t="s">
        <v>20</v>
      </c>
      <c r="N4">
        <f>SQRT(POWER(0.5,2)+POWER(RAP4/2,2))</f>
        <v>0.6726812023536856</v>
      </c>
    </row>
    <row r="5" spans="1:14" ht="15">
      <c r="A5" s="6"/>
      <c r="B5" s="6"/>
      <c r="C5" s="6"/>
      <c r="D5" s="26"/>
      <c r="M5" t="s">
        <v>21</v>
      </c>
      <c r="N5">
        <f>SQRT(POWER(N4,2)-POWER(N3,2))</f>
        <v>0.21794494717703392</v>
      </c>
    </row>
    <row r="6" spans="1:14" ht="14.25">
      <c r="A6" s="37" t="s">
        <v>10</v>
      </c>
      <c r="B6" s="37"/>
      <c r="C6" s="37"/>
      <c r="D6" s="24">
        <v>200</v>
      </c>
      <c r="M6" t="s">
        <v>22</v>
      </c>
      <c r="N6">
        <f>DEGREES(ASIN(N5/0.5))</f>
        <v>25.841932763167165</v>
      </c>
    </row>
    <row r="7" spans="1:14" ht="14.25">
      <c r="A7" s="6"/>
      <c r="B7" s="6"/>
      <c r="C7" s="6"/>
      <c r="D7" s="6"/>
      <c r="M7" t="s">
        <v>27</v>
      </c>
      <c r="N7">
        <f>N3*SQRT(2)</f>
        <v>0.9</v>
      </c>
    </row>
    <row r="8" spans="1:5" ht="14.25">
      <c r="A8" s="15" t="s">
        <v>11</v>
      </c>
      <c r="B8" s="15"/>
      <c r="C8" s="15"/>
      <c r="D8" s="15"/>
      <c r="E8" s="22"/>
    </row>
    <row r="9" spans="1:5" ht="14.25">
      <c r="A9" s="17" t="s">
        <v>12</v>
      </c>
      <c r="B9" s="17"/>
      <c r="C9" s="17"/>
      <c r="D9" s="17"/>
      <c r="E9" s="13"/>
    </row>
    <row r="10" spans="1:18" ht="14.25">
      <c r="A10" s="18" t="s">
        <v>13</v>
      </c>
      <c r="B10" s="18" t="s">
        <v>14</v>
      </c>
      <c r="C10" s="18" t="s">
        <v>15</v>
      </c>
      <c r="D10" s="18" t="s">
        <v>16</v>
      </c>
      <c r="E10" s="23"/>
      <c r="N10" s="20" t="s">
        <v>13</v>
      </c>
      <c r="O10" s="20" t="s">
        <v>14</v>
      </c>
      <c r="P10" s="20" t="s">
        <v>15</v>
      </c>
      <c r="Q10" s="20" t="s">
        <v>16</v>
      </c>
      <c r="R10" s="6"/>
    </row>
    <row r="11" spans="1:18" ht="14.25">
      <c r="A11" s="18">
        <v>1</v>
      </c>
      <c r="B11" s="21">
        <f>INDEX(sommets4,A11,1)*LONG4</f>
        <v>0</v>
      </c>
      <c r="C11" s="21">
        <f>INDEX(sommets4,A11,2)*LONG4</f>
        <v>0</v>
      </c>
      <c r="D11" s="21">
        <f>INDEX(sommets4,A11,3)*LONG4</f>
        <v>0</v>
      </c>
      <c r="E11" s="23"/>
      <c r="N11" s="20">
        <v>1</v>
      </c>
      <c r="O11" s="20">
        <v>0</v>
      </c>
      <c r="P11" s="20">
        <v>0</v>
      </c>
      <c r="Q11" s="20">
        <v>0</v>
      </c>
      <c r="R11" s="6"/>
    </row>
    <row r="12" spans="1:18" ht="14.25">
      <c r="A12" s="18">
        <v>9</v>
      </c>
      <c r="B12" s="21">
        <f>INDEX(sommets4,A12,1)*LONG4</f>
        <v>-74.81284879994165</v>
      </c>
      <c r="C12" s="21">
        <f>INDEX(sommets4,A12,2)*LONG4</f>
        <v>102.97105250718315</v>
      </c>
      <c r="D12" s="21">
        <f>INDEX(sommets4,A12,3)*LONG4</f>
        <v>43.58898943540678</v>
      </c>
      <c r="E12" s="23"/>
      <c r="N12" s="20">
        <v>2</v>
      </c>
      <c r="O12" s="20">
        <f>q4l1*SIN(O24)</f>
        <v>0.1407910185362078</v>
      </c>
      <c r="P12" s="20">
        <f>q4l1*COS(O24)</f>
        <v>0.888919506535624</v>
      </c>
      <c r="Q12" s="20">
        <f>2*q4h1</f>
        <v>0.43588989435406783</v>
      </c>
      <c r="R12" s="6"/>
    </row>
    <row r="13" spans="1:18" ht="14.25">
      <c r="A13" s="18">
        <v>2</v>
      </c>
      <c r="B13" s="21">
        <f>INDEX(sommets4,A13,1)*LONG4</f>
        <v>28.158203707241558</v>
      </c>
      <c r="C13" s="21">
        <f>INDEX(sommets4,A13,2)*LONG4</f>
        <v>177.7839013071248</v>
      </c>
      <c r="D13" s="21">
        <f>INDEX(sommets4,A13,3)*LONG4</f>
        <v>87.17797887081356</v>
      </c>
      <c r="E13" s="23"/>
      <c r="N13" s="20">
        <v>3</v>
      </c>
      <c r="O13" s="20">
        <f>q4l2*SIN(O25)</f>
        <v>0.5148552625359158</v>
      </c>
      <c r="P13" s="20">
        <f>q4l2*COS(O25)</f>
        <v>0.37406424399970806</v>
      </c>
      <c r="Q13" s="20">
        <f>q4h1</f>
        <v>0.21794494717703392</v>
      </c>
      <c r="R13" s="6"/>
    </row>
    <row r="14" spans="1:18" ht="14.25">
      <c r="A14" s="18">
        <v>3</v>
      </c>
      <c r="B14" s="21">
        <f>INDEX(sommets4,A14,1)*LONG4</f>
        <v>102.97105250718317</v>
      </c>
      <c r="C14" s="21">
        <f>INDEX(sommets4,A14,2)*LONG4</f>
        <v>74.8128487999416</v>
      </c>
      <c r="D14" s="21">
        <f>INDEX(sommets4,A14,3)*LONG4</f>
        <v>43.58898943540678</v>
      </c>
      <c r="E14" s="23"/>
      <c r="N14" s="20">
        <v>4</v>
      </c>
      <c r="O14" s="20">
        <f>q4l1*SIN(O26)</f>
        <v>0.888919506535624</v>
      </c>
      <c r="P14" s="20">
        <f>q4l1*COS(O26)</f>
        <v>-0.14079101853620773</v>
      </c>
      <c r="Q14" s="20">
        <f>2*q4h1</f>
        <v>0.43588989435406783</v>
      </c>
      <c r="R14" s="6"/>
    </row>
    <row r="15" spans="1:18" ht="14.25">
      <c r="A15" s="17" t="s">
        <v>23</v>
      </c>
      <c r="B15" s="17"/>
      <c r="C15" s="17"/>
      <c r="D15" s="17"/>
      <c r="E15" s="23"/>
      <c r="N15" s="20">
        <v>5</v>
      </c>
      <c r="O15" s="20">
        <f>q4l2*SIN(O27)</f>
        <v>0.37406424399970817</v>
      </c>
      <c r="P15" s="20">
        <f>q4l2*COS(O27)</f>
        <v>-0.5148552625359157</v>
      </c>
      <c r="Q15" s="20">
        <f>q4h1</f>
        <v>0.21794494717703392</v>
      </c>
      <c r="R15" s="6"/>
    </row>
    <row r="16" spans="1:18" ht="14.25">
      <c r="A16" s="18" t="s">
        <v>13</v>
      </c>
      <c r="B16" s="18" t="s">
        <v>14</v>
      </c>
      <c r="C16" s="18" t="s">
        <v>15</v>
      </c>
      <c r="D16" s="18" t="s">
        <v>16</v>
      </c>
      <c r="E16" s="23"/>
      <c r="N16" s="20">
        <v>6</v>
      </c>
      <c r="O16" s="20">
        <f>q4l1*SIN(O28)</f>
        <v>-0.14079101853620765</v>
      </c>
      <c r="P16" s="20">
        <f>q4l1*COS(O28)</f>
        <v>-0.888919506535624</v>
      </c>
      <c r="Q16" s="20">
        <f>2*q4h1</f>
        <v>0.43588989435406783</v>
      </c>
      <c r="R16" s="6"/>
    </row>
    <row r="17" spans="1:18" ht="14.25">
      <c r="A17" s="18">
        <v>1</v>
      </c>
      <c r="B17" s="21">
        <f>INDEX(sommets4,A17,1)*LONG4</f>
        <v>0</v>
      </c>
      <c r="C17" s="21">
        <f>INDEX(sommets4,A17,2)*LONG4</f>
        <v>0</v>
      </c>
      <c r="D17" s="21">
        <f>INDEX(sommets4,A17,3)*LONG4</f>
        <v>0</v>
      </c>
      <c r="E17" s="23"/>
      <c r="N17" s="20">
        <v>7</v>
      </c>
      <c r="O17" s="20">
        <f>q4l2*SIN(O29)</f>
        <v>-0.5148552625359157</v>
      </c>
      <c r="P17" s="20">
        <f>q4l2*COS(O29)</f>
        <v>-0.37406424399970817</v>
      </c>
      <c r="Q17" s="20">
        <f>q4h1</f>
        <v>0.21794494717703392</v>
      </c>
      <c r="R17" s="6"/>
    </row>
    <row r="18" spans="1:17" ht="14.25">
      <c r="A18" s="18">
        <v>3</v>
      </c>
      <c r="B18" s="21">
        <f>INDEX(sommets4,A18,1)*LONG4</f>
        <v>102.97105250718317</v>
      </c>
      <c r="C18" s="21">
        <f>INDEX(sommets4,A18,2)*LONG4</f>
        <v>74.8128487999416</v>
      </c>
      <c r="D18" s="21">
        <f>INDEX(sommets4,A18,3)*LONG4</f>
        <v>43.58898943540678</v>
      </c>
      <c r="N18" s="20">
        <v>8</v>
      </c>
      <c r="O18" s="20">
        <f>q4l1*SIN(O30)</f>
        <v>-0.888919506535624</v>
      </c>
      <c r="P18" s="20">
        <f>q4l1*COS(O30)</f>
        <v>0.14079101853620762</v>
      </c>
      <c r="Q18" s="20">
        <f>2*q4h1</f>
        <v>0.43588989435406783</v>
      </c>
    </row>
    <row r="19" spans="1:17" ht="14.25">
      <c r="A19" s="18">
        <v>4</v>
      </c>
      <c r="B19" s="21">
        <f>INDEX(sommets4,A19,1)*LONG4</f>
        <v>177.7839013071248</v>
      </c>
      <c r="C19" s="21">
        <f>INDEX(sommets4,A19,2)*LONG4</f>
        <v>-28.158203707241547</v>
      </c>
      <c r="D19" s="21">
        <f>INDEX(sommets4,A19,3)*LONG4</f>
        <v>87.17797887081356</v>
      </c>
      <c r="N19" s="20">
        <v>9</v>
      </c>
      <c r="O19" s="20">
        <f>q4l2*SIN(O31)</f>
        <v>-0.3740642439997082</v>
      </c>
      <c r="P19" s="20">
        <f>q4l2*COS(O31)</f>
        <v>0.5148552625359157</v>
      </c>
      <c r="Q19" s="20">
        <f>q4h1</f>
        <v>0.21794494717703392</v>
      </c>
    </row>
    <row r="20" spans="1:4" ht="14.25">
      <c r="A20" s="18">
        <v>5</v>
      </c>
      <c r="B20" s="21">
        <f>INDEX(sommets4,A20,1)*LONG4</f>
        <v>74.81284879994163</v>
      </c>
      <c r="C20" s="21">
        <f>INDEX(sommets4,A20,2)*LONG4</f>
        <v>-102.97105250718315</v>
      </c>
      <c r="D20" s="21">
        <f>INDEX(sommets4,A20,3)*LONG4</f>
        <v>43.58898943540678</v>
      </c>
    </row>
    <row r="21" spans="1:4" ht="14.25">
      <c r="A21" s="17" t="s">
        <v>24</v>
      </c>
      <c r="B21" s="17"/>
      <c r="C21" s="17"/>
      <c r="D21" s="17"/>
    </row>
    <row r="22" spans="1:4" ht="14.25">
      <c r="A22" s="18" t="s">
        <v>13</v>
      </c>
      <c r="B22" s="18" t="s">
        <v>14</v>
      </c>
      <c r="C22" s="18" t="s">
        <v>15</v>
      </c>
      <c r="D22" s="18" t="s">
        <v>16</v>
      </c>
    </row>
    <row r="23" spans="1:17" ht="14.25">
      <c r="A23" s="18">
        <v>1</v>
      </c>
      <c r="B23" s="21">
        <f>INDEX(sommets4,A23,1)*LONG4</f>
        <v>0</v>
      </c>
      <c r="C23" s="21">
        <f>INDEX(sommets4,A23,2)*LONG4</f>
        <v>0</v>
      </c>
      <c r="D23" s="21">
        <f>INDEX(sommets4,A23,3)*LONG4</f>
        <v>0</v>
      </c>
      <c r="P23" t="s">
        <v>25</v>
      </c>
      <c r="Q23" t="s">
        <v>26</v>
      </c>
    </row>
    <row r="24" spans="1:17" ht="14.25">
      <c r="A24" s="18">
        <v>5</v>
      </c>
      <c r="B24" s="21">
        <f>INDEX(sommets4,A24,1)*LONG4</f>
        <v>74.81284879994163</v>
      </c>
      <c r="C24" s="21">
        <f>INDEX(sommets4,A24,2)*LONG4</f>
        <v>-102.97105250718315</v>
      </c>
      <c r="D24" s="21">
        <f>INDEX(sommets4,A24,3)*LONG4</f>
        <v>43.58898943540678</v>
      </c>
      <c r="N24" s="33">
        <v>9</v>
      </c>
      <c r="O24">
        <f>RADIANS(N24)</f>
        <v>0.15707963267948966</v>
      </c>
      <c r="P24">
        <f>COS(O24)</f>
        <v>0.9876883405951378</v>
      </c>
      <c r="Q24">
        <f>SIN(O24)</f>
        <v>0.15643446504023087</v>
      </c>
    </row>
    <row r="25" spans="1:17" ht="14.25">
      <c r="A25" s="18">
        <v>6</v>
      </c>
      <c r="B25" s="21">
        <f>INDEX(sommets4,A25,1)*LONG4</f>
        <v>-28.15820370724153</v>
      </c>
      <c r="C25" s="21">
        <f>INDEX(sommets4,A25,2)*LONG4</f>
        <v>-177.7839013071248</v>
      </c>
      <c r="D25" s="21">
        <f>INDEX(sommets4,A25,3)*LONG4</f>
        <v>87.17797887081356</v>
      </c>
      <c r="N25">
        <f>45+N24</f>
        <v>54</v>
      </c>
      <c r="O25">
        <f aca="true" t="shared" si="0" ref="O25:O32">RADIANS(N25)</f>
        <v>0.9424777960769379</v>
      </c>
      <c r="P25">
        <f aca="true" t="shared" si="1" ref="P25:P32">COS(O25)</f>
        <v>0.5877852522924731</v>
      </c>
      <c r="Q25">
        <f aca="true" t="shared" si="2" ref="Q25:Q32">SIN(O25)</f>
        <v>0.8090169943749475</v>
      </c>
    </row>
    <row r="26" spans="1:17" ht="14.25">
      <c r="A26" s="18">
        <v>7</v>
      </c>
      <c r="B26" s="21">
        <f>INDEX(sommets4,A26,1)*LONG4</f>
        <v>-102.97105250718315</v>
      </c>
      <c r="C26" s="21">
        <f>INDEX(sommets4,A26,2)*LONG4</f>
        <v>-74.81284879994163</v>
      </c>
      <c r="D26" s="21">
        <f>INDEX(sommets4,A26,3)*LONG4</f>
        <v>43.58898943540678</v>
      </c>
      <c r="N26">
        <f aca="true" t="shared" si="3" ref="N26:N32">45+N25</f>
        <v>99</v>
      </c>
      <c r="O26">
        <f t="shared" si="0"/>
        <v>1.7278759594743862</v>
      </c>
      <c r="P26">
        <f t="shared" si="1"/>
        <v>-0.1564344650402308</v>
      </c>
      <c r="Q26">
        <f t="shared" si="2"/>
        <v>0.9876883405951378</v>
      </c>
    </row>
    <row r="27" spans="1:17" ht="14.25">
      <c r="A27" s="17" t="s">
        <v>24</v>
      </c>
      <c r="B27" s="17"/>
      <c r="C27" s="17"/>
      <c r="D27" s="17"/>
      <c r="N27">
        <f t="shared" si="3"/>
        <v>144</v>
      </c>
      <c r="O27">
        <f t="shared" si="0"/>
        <v>2.5132741228718345</v>
      </c>
      <c r="P27">
        <f t="shared" si="1"/>
        <v>-0.8090169943749473</v>
      </c>
      <c r="Q27">
        <f t="shared" si="2"/>
        <v>0.5877852522924732</v>
      </c>
    </row>
    <row r="28" spans="1:17" ht="14.25">
      <c r="A28" s="18" t="s">
        <v>13</v>
      </c>
      <c r="B28" s="18" t="s">
        <v>14</v>
      </c>
      <c r="C28" s="18" t="s">
        <v>15</v>
      </c>
      <c r="D28" s="18" t="s">
        <v>16</v>
      </c>
      <c r="N28">
        <f t="shared" si="3"/>
        <v>189</v>
      </c>
      <c r="O28">
        <f t="shared" si="0"/>
        <v>3.2986722862692828</v>
      </c>
      <c r="P28">
        <f t="shared" si="1"/>
        <v>-0.9876883405951378</v>
      </c>
      <c r="Q28">
        <f t="shared" si="2"/>
        <v>-0.15643446504023073</v>
      </c>
    </row>
    <row r="29" spans="1:17" ht="14.25">
      <c r="A29" s="18">
        <v>1</v>
      </c>
      <c r="B29" s="21">
        <f>INDEX(sommets4,A29,1)*LONG4</f>
        <v>0</v>
      </c>
      <c r="C29" s="21">
        <f>INDEX(sommets4,A29,2)*LONG4</f>
        <v>0</v>
      </c>
      <c r="D29" s="21">
        <f>INDEX(sommets4,A29,3)*LONG4</f>
        <v>0</v>
      </c>
      <c r="N29">
        <f t="shared" si="3"/>
        <v>234</v>
      </c>
      <c r="O29">
        <f t="shared" si="0"/>
        <v>4.084070449666731</v>
      </c>
      <c r="P29">
        <f t="shared" si="1"/>
        <v>-0.5877852522924732</v>
      </c>
      <c r="Q29">
        <f t="shared" si="2"/>
        <v>-0.8090169943749473</v>
      </c>
    </row>
    <row r="30" spans="1:17" ht="14.25">
      <c r="A30" s="18">
        <v>7</v>
      </c>
      <c r="B30" s="21">
        <f>INDEX(sommets4,A30,1)*LONG4</f>
        <v>-102.97105250718315</v>
      </c>
      <c r="C30" s="21">
        <f>INDEX(sommets4,A30,2)*LONG4</f>
        <v>-74.81284879994163</v>
      </c>
      <c r="D30" s="21">
        <f>INDEX(sommets4,A30,3)*LONG4</f>
        <v>43.58898943540678</v>
      </c>
      <c r="N30">
        <f t="shared" si="3"/>
        <v>279</v>
      </c>
      <c r="O30">
        <f t="shared" si="0"/>
        <v>4.869468613064179</v>
      </c>
      <c r="P30">
        <f t="shared" si="1"/>
        <v>0.15643446504023067</v>
      </c>
      <c r="Q30">
        <f t="shared" si="2"/>
        <v>-0.9876883405951378</v>
      </c>
    </row>
    <row r="31" spans="1:17" ht="14.25">
      <c r="A31" s="18">
        <v>8</v>
      </c>
      <c r="B31" s="21">
        <f>INDEX(sommets4,A31,1)*LONG4</f>
        <v>-177.7839013071248</v>
      </c>
      <c r="C31" s="21">
        <f>INDEX(sommets4,A31,2)*LONG4</f>
        <v>28.158203707241526</v>
      </c>
      <c r="D31" s="21">
        <f>INDEX(sommets4,A31,3)*LONG4</f>
        <v>87.17797887081356</v>
      </c>
      <c r="N31">
        <f t="shared" si="3"/>
        <v>324</v>
      </c>
      <c r="O31">
        <f t="shared" si="0"/>
        <v>5.654866776461628</v>
      </c>
      <c r="P31">
        <f t="shared" si="1"/>
        <v>0.8090169943749473</v>
      </c>
      <c r="Q31">
        <f t="shared" si="2"/>
        <v>-0.5877852522924734</v>
      </c>
    </row>
    <row r="32" spans="1:17" ht="14.25">
      <c r="A32" s="18">
        <v>9</v>
      </c>
      <c r="B32" s="21">
        <f>INDEX(sommets4,A32,1)*LONG4</f>
        <v>-74.81284879994165</v>
      </c>
      <c r="C32" s="21">
        <f>INDEX(sommets4,A32,2)*LONG4</f>
        <v>102.97105250718315</v>
      </c>
      <c r="D32" s="21">
        <f>INDEX(sommets4,A32,3)*LONG4</f>
        <v>43.58898943540678</v>
      </c>
      <c r="N32">
        <f t="shared" si="3"/>
        <v>369</v>
      </c>
      <c r="O32">
        <f t="shared" si="0"/>
        <v>6.440264939859076</v>
      </c>
      <c r="P32">
        <f t="shared" si="1"/>
        <v>0.9876883405951378</v>
      </c>
      <c r="Q32">
        <f t="shared" si="2"/>
        <v>0.15643446504023062</v>
      </c>
    </row>
  </sheetData>
  <mergeCells count="3">
    <mergeCell ref="F1:L1"/>
    <mergeCell ref="A4:C4"/>
    <mergeCell ref="A6:C6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ordre5"/>
  <dimension ref="A1:R68"/>
  <sheetViews>
    <sheetView zoomScale="75" zoomScaleNormal="75" workbookViewId="0" topLeftCell="A1">
      <selection activeCell="O34" sqref="O34"/>
    </sheetView>
  </sheetViews>
  <sheetFormatPr defaultColWidth="9.00390625" defaultRowHeight="14.25"/>
  <cols>
    <col min="1" max="1" width="12.75390625" style="0" customWidth="1"/>
    <col min="2" max="4" width="10.625" style="0" customWidth="1"/>
    <col min="13" max="13" width="30.00390625" style="0" customWidth="1"/>
    <col min="15" max="15" width="12.25390625" style="0" bestFit="1" customWidth="1"/>
  </cols>
  <sheetData>
    <row r="1" spans="1:12" s="1" customFormat="1" ht="42" customHeight="1">
      <c r="A1" s="11" t="s">
        <v>8</v>
      </c>
      <c r="B1" s="11"/>
      <c r="C1" s="12">
        <v>5</v>
      </c>
      <c r="D1" s="11"/>
      <c r="E1" s="11"/>
      <c r="F1" s="36"/>
      <c r="G1" s="36"/>
      <c r="H1" s="36"/>
      <c r="I1" s="36"/>
      <c r="J1" s="36"/>
      <c r="K1" s="36"/>
      <c r="L1" s="36"/>
    </row>
    <row r="2" spans="12:14" ht="14.25">
      <c r="L2" s="27" t="s">
        <v>32</v>
      </c>
      <c r="M2" t="s">
        <v>18</v>
      </c>
      <c r="N2">
        <f>RAP5</f>
        <v>0.7</v>
      </c>
    </row>
    <row r="3" spans="1:14" ht="14.25">
      <c r="A3" s="14"/>
      <c r="B3" s="14"/>
      <c r="C3" s="14"/>
      <c r="D3" s="14"/>
      <c r="E3" s="13"/>
      <c r="L3" s="27" t="s">
        <v>33</v>
      </c>
      <c r="M3" t="s">
        <v>19</v>
      </c>
      <c r="N3">
        <f>N2/(2*SIN(RADIANS(36)))</f>
        <v>0.5954555658464279</v>
      </c>
    </row>
    <row r="4" spans="1:14" ht="14.25">
      <c r="A4" s="37" t="s">
        <v>9</v>
      </c>
      <c r="B4" s="37"/>
      <c r="C4" s="37"/>
      <c r="D4" s="31">
        <v>0.7</v>
      </c>
      <c r="E4" s="16" t="s">
        <v>17</v>
      </c>
      <c r="F4" s="25">
        <f>TAN(RADIANS(36))</f>
        <v>0.7265425280053609</v>
      </c>
      <c r="L4" s="27"/>
      <c r="M4" t="s">
        <v>20</v>
      </c>
      <c r="N4">
        <f>SQRT(POWER(0.5,2)+POWER(N2/2,2))</f>
        <v>0.6103277807866851</v>
      </c>
    </row>
    <row r="5" spans="1:14" ht="15">
      <c r="A5" s="6"/>
      <c r="B5" s="6"/>
      <c r="C5" s="6"/>
      <c r="D5" s="26"/>
      <c r="L5" s="27"/>
      <c r="M5" t="s">
        <v>21</v>
      </c>
      <c r="N5">
        <f>SQRT(POWER(N4,2)-POWER(N3,2))</f>
        <v>0.13391291611532624</v>
      </c>
    </row>
    <row r="6" spans="1:14" ht="14.25">
      <c r="A6" s="37" t="s">
        <v>10</v>
      </c>
      <c r="B6" s="37"/>
      <c r="C6" s="37"/>
      <c r="D6" s="24">
        <v>200</v>
      </c>
      <c r="L6" s="27"/>
      <c r="M6" t="s">
        <v>22</v>
      </c>
      <c r="N6">
        <f>DEGREES(ASIN(N5/0.5))</f>
        <v>15.534932069541723</v>
      </c>
    </row>
    <row r="7" spans="1:14" ht="14.25">
      <c r="A7" s="6"/>
      <c r="B7" s="6"/>
      <c r="C7" s="6"/>
      <c r="D7" s="6"/>
      <c r="L7" s="27" t="s">
        <v>34</v>
      </c>
      <c r="M7" t="s">
        <v>27</v>
      </c>
      <c r="N7">
        <f>2*SQRT(POWER(N3,2)-POWER(N2/2,2))</f>
        <v>0.9634673443298213</v>
      </c>
    </row>
    <row r="8" spans="1:14" ht="14.25">
      <c r="A8" s="15" t="s">
        <v>11</v>
      </c>
      <c r="B8" s="15"/>
      <c r="C8" s="15"/>
      <c r="D8" s="15"/>
      <c r="E8" s="22"/>
      <c r="L8" s="27" t="s">
        <v>35</v>
      </c>
      <c r="M8" t="s">
        <v>28</v>
      </c>
      <c r="N8">
        <f>N7-N3</f>
        <v>0.3680117784833934</v>
      </c>
    </row>
    <row r="9" spans="1:14" ht="14.25">
      <c r="A9" s="17" t="s">
        <v>12</v>
      </c>
      <c r="B9" s="17"/>
      <c r="C9" s="17"/>
      <c r="D9" s="17"/>
      <c r="E9" s="13"/>
      <c r="L9" s="27"/>
      <c r="M9" t="s">
        <v>29</v>
      </c>
      <c r="N9">
        <f>2*SQRT(POWER(N3,2)-POWER(N8/2,2))</f>
        <v>1.1326237921249263</v>
      </c>
    </row>
    <row r="10" spans="1:18" ht="14.25">
      <c r="A10" s="18" t="s">
        <v>13</v>
      </c>
      <c r="B10" s="18" t="s">
        <v>14</v>
      </c>
      <c r="C10" s="18" t="s">
        <v>15</v>
      </c>
      <c r="D10" s="18" t="s">
        <v>16</v>
      </c>
      <c r="E10" s="23"/>
      <c r="L10" s="27"/>
      <c r="M10" t="s">
        <v>30</v>
      </c>
      <c r="N10">
        <f>SQRT(SUM(POWER(N8,2),POWER(2*N5,2)))</f>
        <v>0.4551520026458763</v>
      </c>
      <c r="R10" s="6"/>
    </row>
    <row r="11" spans="1:18" ht="14.25">
      <c r="A11" s="18">
        <v>1</v>
      </c>
      <c r="B11" s="21">
        <f>INDEX(sommets5,A11,1)*LONG5</f>
        <v>0</v>
      </c>
      <c r="C11" s="21">
        <f>INDEX(sommets5,A11,2)*LONG5</f>
        <v>0</v>
      </c>
      <c r="D11" s="21">
        <f>INDEX(sommets5,A11,3)*LONG5</f>
        <v>0</v>
      </c>
      <c r="E11" s="23"/>
      <c r="L11" s="27"/>
      <c r="M11" t="s">
        <v>31</v>
      </c>
      <c r="N11">
        <f>DEGREES(ASIN((2*N5)/N10))</f>
        <v>36.04579032159282</v>
      </c>
      <c r="R11" s="6"/>
    </row>
    <row r="12" spans="1:18" ht="14.25">
      <c r="A12" s="18">
        <v>2</v>
      </c>
      <c r="B12" s="21">
        <f>INDEX(sommets5,A12,1)*LONG5</f>
        <v>24.760434700395294</v>
      </c>
      <c r="C12" s="21">
        <f>INDEX(sommets5,A12,2)*LONG5</f>
        <v>116.48868661525482</v>
      </c>
      <c r="D12" s="21">
        <f>INDEX(sommets5,A12,3)*LONG5</f>
        <v>26.78258322306525</v>
      </c>
      <c r="E12" s="23"/>
      <c r="L12" s="27"/>
      <c r="R12" s="6"/>
    </row>
    <row r="13" spans="1:18" ht="14.25">
      <c r="A13" s="18">
        <v>7</v>
      </c>
      <c r="B13" s="21">
        <f>INDEX(sommets5,A13,1)*LONG5</f>
        <v>143.1991542910307</v>
      </c>
      <c r="C13" s="21">
        <f>INDEX(sommets5,A13,2)*LONG5</f>
        <v>128.93709766367442</v>
      </c>
      <c r="D13" s="21">
        <f>INDEX(sommets5,A13,3)*LONG5</f>
        <v>53.5651664461305</v>
      </c>
      <c r="E13" s="23"/>
      <c r="L13" s="27"/>
      <c r="R13" s="6"/>
    </row>
    <row r="14" spans="1:18" ht="14.25">
      <c r="A14" s="18">
        <v>3</v>
      </c>
      <c r="B14" s="21">
        <f>INDEX(sommets5,A14,1)*LONG5</f>
        <v>118.43871959063543</v>
      </c>
      <c r="C14" s="21">
        <f>INDEX(sommets5,A14,2)*LONG5</f>
        <v>12.44841104841963</v>
      </c>
      <c r="D14" s="21">
        <f>INDEX(sommets5,A14,3)*LONG5</f>
        <v>26.78258322306525</v>
      </c>
      <c r="E14" s="23"/>
      <c r="L14" s="27"/>
      <c r="R14" s="6"/>
    </row>
    <row r="15" spans="1:18" ht="14.25">
      <c r="A15" s="17" t="s">
        <v>23</v>
      </c>
      <c r="B15" s="17"/>
      <c r="C15" s="17"/>
      <c r="D15" s="17"/>
      <c r="E15" s="23"/>
      <c r="L15" s="27"/>
      <c r="N15" s="20" t="s">
        <v>13</v>
      </c>
      <c r="O15" s="20" t="s">
        <v>14</v>
      </c>
      <c r="P15" s="20" t="s">
        <v>15</v>
      </c>
      <c r="Q15" s="20" t="s">
        <v>16</v>
      </c>
      <c r="R15" s="6"/>
    </row>
    <row r="16" spans="1:18" ht="14.25">
      <c r="A16" s="18" t="s">
        <v>13</v>
      </c>
      <c r="B16" s="18" t="s">
        <v>14</v>
      </c>
      <c r="C16" s="18" t="s">
        <v>15</v>
      </c>
      <c r="D16" s="18" t="s">
        <v>16</v>
      </c>
      <c r="E16" s="23"/>
      <c r="N16" s="20">
        <v>1</v>
      </c>
      <c r="O16" s="20">
        <v>0</v>
      </c>
      <c r="P16" s="20">
        <v>0</v>
      </c>
      <c r="Q16" s="20">
        <v>0</v>
      </c>
      <c r="R16" s="6"/>
    </row>
    <row r="17" spans="1:18" ht="14.25">
      <c r="A17" s="18">
        <v>1</v>
      </c>
      <c r="B17" s="21">
        <f>INDEX(sommets5,A17,1)*LONG5</f>
        <v>0</v>
      </c>
      <c r="C17" s="21">
        <f>INDEX(sommets5,A17,2)*LONG5</f>
        <v>0</v>
      </c>
      <c r="D17" s="21">
        <f>INDEX(sommets5,A17,3)*LONG5</f>
        <v>0</v>
      </c>
      <c r="E17" s="23"/>
      <c r="N17" s="20">
        <v>2</v>
      </c>
      <c r="O17" s="20">
        <f>q5l1*SIN(O34)</f>
        <v>0.12380217350197646</v>
      </c>
      <c r="P17" s="20">
        <f>q5l1*COS(O34)</f>
        <v>0.5824434330762741</v>
      </c>
      <c r="Q17" s="20">
        <f>q5h1</f>
        <v>0.13391291611532624</v>
      </c>
      <c r="R17" s="6"/>
    </row>
    <row r="18" spans="1:17" ht="14.25">
      <c r="A18" s="18">
        <v>3</v>
      </c>
      <c r="B18" s="21">
        <f>INDEX(sommets5,A18,1)*LONG5</f>
        <v>118.43871959063543</v>
      </c>
      <c r="C18" s="21">
        <f>INDEX(sommets5,A18,2)*LONG5</f>
        <v>12.44841104841963</v>
      </c>
      <c r="D18" s="21">
        <f>INDEX(sommets5,A18,3)*LONG5</f>
        <v>26.78258322306525</v>
      </c>
      <c r="N18" s="20">
        <v>3</v>
      </c>
      <c r="O18" s="20">
        <f>q5l1*SIN(O36)</f>
        <v>0.5921935979531772</v>
      </c>
      <c r="P18" s="20">
        <f>q5l1*COS(O36)</f>
        <v>0.062242055242098145</v>
      </c>
      <c r="Q18" s="20">
        <f>q5h1</f>
        <v>0.13391291611532624</v>
      </c>
    </row>
    <row r="19" spans="1:17" ht="14.25">
      <c r="A19" s="18">
        <v>8</v>
      </c>
      <c r="B19" s="21">
        <f>INDEX(sommets5,A19,1)*LONG5</f>
        <v>166.87743918127086</v>
      </c>
      <c r="C19" s="21">
        <f>INDEX(sommets5,A19,2)*LONG5</f>
        <v>-96.34673443298209</v>
      </c>
      <c r="D19" s="21">
        <f>INDEX(sommets5,A19,3)*LONG5</f>
        <v>53.5651664461305</v>
      </c>
      <c r="N19" s="20">
        <v>4</v>
      </c>
      <c r="O19" s="20">
        <f>q5l1*SIN(O38)</f>
        <v>0.24219359795317733</v>
      </c>
      <c r="P19" s="20">
        <f>q5l1*COS(O38)</f>
        <v>-0.5439757274070087</v>
      </c>
      <c r="Q19" s="20">
        <f>q5h1</f>
        <v>0.13391291611532624</v>
      </c>
    </row>
    <row r="20" spans="1:17" ht="14.25">
      <c r="A20" s="18">
        <v>4</v>
      </c>
      <c r="B20" s="21">
        <f>INDEX(sommets5,A20,1)*LONG5</f>
        <v>48.438719590635465</v>
      </c>
      <c r="C20" s="21">
        <f>INDEX(sommets5,A20,2)*LONG5</f>
        <v>-108.79514548140175</v>
      </c>
      <c r="D20" s="21">
        <f>INDEX(sommets5,A20,3)*LONG5</f>
        <v>26.78258322306525</v>
      </c>
      <c r="N20" s="20">
        <v>5</v>
      </c>
      <c r="O20" s="20">
        <f>q5l1*SIN(O40)</f>
        <v>-0.44250972256048676</v>
      </c>
      <c r="P20" s="20">
        <f>q5l1*COS(O40)</f>
        <v>-0.39843754383457725</v>
      </c>
      <c r="Q20" s="20">
        <f>q5h1</f>
        <v>0.13391291611532624</v>
      </c>
    </row>
    <row r="21" spans="1:17" ht="14.25">
      <c r="A21" s="17" t="s">
        <v>24</v>
      </c>
      <c r="B21" s="17"/>
      <c r="C21" s="17"/>
      <c r="D21" s="17"/>
      <c r="N21" s="20">
        <v>6</v>
      </c>
      <c r="O21" s="20">
        <f>q5l1*SIN(O42)</f>
        <v>-0.5156796468478441</v>
      </c>
      <c r="P21" s="20">
        <f>q5l1*COS(O42)</f>
        <v>0.297727782923214</v>
      </c>
      <c r="Q21" s="20">
        <f>q5h1</f>
        <v>0.13391291611532624</v>
      </c>
    </row>
    <row r="22" spans="1:17" ht="14.25">
      <c r="A22" s="18" t="s">
        <v>13</v>
      </c>
      <c r="B22" s="18" t="s">
        <v>14</v>
      </c>
      <c r="C22" s="18" t="s">
        <v>15</v>
      </c>
      <c r="D22" s="18" t="s">
        <v>16</v>
      </c>
      <c r="N22" s="20">
        <v>7</v>
      </c>
      <c r="O22" s="20">
        <f>q5l2*SIN(O35)</f>
        <v>0.7159957714551536</v>
      </c>
      <c r="P22" s="20">
        <f>q5l2*COS(O35)</f>
        <v>0.6446854883183721</v>
      </c>
      <c r="Q22" s="20">
        <f>2*q5h1</f>
        <v>0.2678258322306525</v>
      </c>
    </row>
    <row r="23" spans="1:17" ht="14.25">
      <c r="A23" s="18">
        <v>1</v>
      </c>
      <c r="B23" s="21">
        <f>INDEX(sommets5,A23,1)*LONG5</f>
        <v>0</v>
      </c>
      <c r="C23" s="21">
        <f>INDEX(sommets5,A23,2)*LONG5</f>
        <v>0</v>
      </c>
      <c r="D23" s="21">
        <f>INDEX(sommets5,A23,3)*LONG5</f>
        <v>0</v>
      </c>
      <c r="N23" s="20">
        <v>8</v>
      </c>
      <c r="O23" s="20">
        <f>q5l2*SIN(O37)</f>
        <v>0.8343871959063544</v>
      </c>
      <c r="P23" s="20">
        <f>q5l2*COS(O37)</f>
        <v>-0.4817336721649104</v>
      </c>
      <c r="Q23" s="20">
        <f>2*q5h1</f>
        <v>0.2678258322306525</v>
      </c>
    </row>
    <row r="24" spans="1:17" ht="14.25">
      <c r="A24" s="18">
        <v>4</v>
      </c>
      <c r="B24" s="21">
        <f>INDEX(sommets5,A24,1)*LONG5</f>
        <v>48.438719590635465</v>
      </c>
      <c r="C24" s="21">
        <f>INDEX(sommets5,A24,2)*LONG5</f>
        <v>-108.79514548140175</v>
      </c>
      <c r="D24" s="21">
        <f>INDEX(sommets5,A24,3)*LONG5</f>
        <v>26.78258322306525</v>
      </c>
      <c r="N24" s="20">
        <v>9</v>
      </c>
      <c r="O24" s="20">
        <f>q5l2*SIN(O39)</f>
        <v>-0.20031612460730963</v>
      </c>
      <c r="P24" s="20">
        <f>q5l2*COS(O39)</f>
        <v>-0.942413271241586</v>
      </c>
      <c r="Q24" s="20">
        <f>2*q5h1</f>
        <v>0.2678258322306525</v>
      </c>
    </row>
    <row r="25" spans="1:17" ht="14.25">
      <c r="A25" s="18">
        <v>9</v>
      </c>
      <c r="B25" s="21">
        <f>INDEX(sommets5,A25,1)*LONG5</f>
        <v>-40.063224921461924</v>
      </c>
      <c r="C25" s="21">
        <f>INDEX(sommets5,A25,2)*LONG5</f>
        <v>-188.4826542483172</v>
      </c>
      <c r="D25" s="21">
        <f>INDEX(sommets5,A25,3)*LONG5</f>
        <v>53.5651664461305</v>
      </c>
      <c r="N25" s="20">
        <v>10</v>
      </c>
      <c r="O25" s="20">
        <f>q5l2*SIN(O41)</f>
        <v>-0.9581893694083308</v>
      </c>
      <c r="P25" s="20">
        <f>q5l2*COS(O41)</f>
        <v>-0.10070976091136326</v>
      </c>
      <c r="Q25" s="20">
        <f>2*q5h1</f>
        <v>0.2678258322306525</v>
      </c>
    </row>
    <row r="26" spans="1:17" ht="14.25">
      <c r="A26" s="18">
        <v>5</v>
      </c>
      <c r="B26" s="21">
        <f>INDEX(sommets5,A26,1)*LONG5</f>
        <v>-88.50194451209735</v>
      </c>
      <c r="C26" s="21">
        <f>INDEX(sommets5,A26,2)*LONG5</f>
        <v>-79.68750876691544</v>
      </c>
      <c r="D26" s="21">
        <f>INDEX(sommets5,A26,3)*LONG5</f>
        <v>26.78258322306525</v>
      </c>
      <c r="N26" s="20">
        <v>11</v>
      </c>
      <c r="O26" s="20">
        <f>q5l2*SIN(O43)</f>
        <v>-0.3918774733458676</v>
      </c>
      <c r="P26" s="20">
        <f>q5l2*COS(O43)</f>
        <v>0.880171215999488</v>
      </c>
      <c r="Q26" s="20">
        <f>2*q5h1</f>
        <v>0.2678258322306525</v>
      </c>
    </row>
    <row r="27" spans="1:17" ht="14.25">
      <c r="A27" s="17" t="s">
        <v>36</v>
      </c>
      <c r="B27" s="17"/>
      <c r="C27" s="17"/>
      <c r="D27" s="17"/>
      <c r="N27" s="20">
        <v>12</v>
      </c>
      <c r="O27" s="20">
        <f>q5l2*SIN(O34)</f>
        <v>0.2003161246073095</v>
      </c>
      <c r="P27" s="20">
        <f>q5l2*COS(O34)</f>
        <v>0.9424132712415861</v>
      </c>
      <c r="Q27" s="20">
        <f>3*q5h1</f>
        <v>0.4017387483459787</v>
      </c>
    </row>
    <row r="28" spans="1:17" ht="14.25">
      <c r="A28" s="18" t="s">
        <v>13</v>
      </c>
      <c r="B28" s="18" t="s">
        <v>14</v>
      </c>
      <c r="C28" s="18" t="s">
        <v>15</v>
      </c>
      <c r="D28" s="18" t="s">
        <v>16</v>
      </c>
      <c r="N28" s="20">
        <v>13</v>
      </c>
      <c r="O28" s="20">
        <f>q5l2*SIN(O36)</f>
        <v>0.9581893694083307</v>
      </c>
      <c r="P28" s="20">
        <f>q5l2*COS(O36)</f>
        <v>0.10070976091136336</v>
      </c>
      <c r="Q28" s="20">
        <f>3*q5h1</f>
        <v>0.4017387483459787</v>
      </c>
    </row>
    <row r="29" spans="1:17" ht="14.25">
      <c r="A29" s="18">
        <v>1</v>
      </c>
      <c r="B29" s="21">
        <f>INDEX(sommets5,A29,1)*LONG5</f>
        <v>0</v>
      </c>
      <c r="C29" s="21">
        <f>INDEX(sommets5,A29,2)*LONG5</f>
        <v>0</v>
      </c>
      <c r="D29" s="21">
        <f>INDEX(sommets5,A29,3)*LONG5</f>
        <v>0</v>
      </c>
      <c r="N29" s="20">
        <v>14</v>
      </c>
      <c r="O29" s="20">
        <f>q5l2*SIN(O38)</f>
        <v>0.3918774733458678</v>
      </c>
      <c r="P29" s="20">
        <f>q5l2*COS(O38)</f>
        <v>-0.8801712159994878</v>
      </c>
      <c r="Q29" s="20">
        <f>3*q5h1</f>
        <v>0.4017387483459787</v>
      </c>
    </row>
    <row r="30" spans="1:17" ht="14.25">
      <c r="A30" s="18">
        <v>5</v>
      </c>
      <c r="B30" s="21">
        <f>INDEX(sommets5,A30,1)*LONG5</f>
        <v>-88.50194451209735</v>
      </c>
      <c r="C30" s="21">
        <f>INDEX(sommets5,A30,2)*LONG5</f>
        <v>-79.68750876691544</v>
      </c>
      <c r="D30" s="21">
        <f>INDEX(sommets5,A30,3)*LONG5</f>
        <v>26.78258322306525</v>
      </c>
      <c r="N30" s="20">
        <v>15</v>
      </c>
      <c r="O30" s="20">
        <f>q5l2*SIN(O40)</f>
        <v>-0.7159957714551537</v>
      </c>
      <c r="P30" s="20">
        <f>q5l2*COS(O40)</f>
        <v>-0.644685488318372</v>
      </c>
      <c r="Q30" s="20">
        <f>3*q5h1</f>
        <v>0.4017387483459787</v>
      </c>
    </row>
    <row r="31" spans="1:17" ht="14.25">
      <c r="A31" s="18">
        <v>10</v>
      </c>
      <c r="B31" s="21">
        <f>INDEX(sommets5,A31,1)*LONG5</f>
        <v>-191.63787388166617</v>
      </c>
      <c r="C31" s="21">
        <f>INDEX(sommets5,A31,2)*LONG5</f>
        <v>-20.14195218227265</v>
      </c>
      <c r="D31" s="21">
        <f>INDEX(sommets5,A31,3)*LONG5</f>
        <v>53.5651664461305</v>
      </c>
      <c r="N31" s="20">
        <v>16</v>
      </c>
      <c r="O31" s="20">
        <f>q5l2*SIN(O42)</f>
        <v>-0.8343871959063542</v>
      </c>
      <c r="P31" s="20">
        <f>q5l2*COS(O42)</f>
        <v>0.48173367216491075</v>
      </c>
      <c r="Q31" s="20">
        <f>3*q5h1</f>
        <v>0.4017387483459787</v>
      </c>
    </row>
    <row r="32" spans="1:4" ht="14.25">
      <c r="A32" s="18">
        <v>6</v>
      </c>
      <c r="B32" s="21">
        <f>INDEX(sommets5,A32,1)*LONG5</f>
        <v>-103.13592936956881</v>
      </c>
      <c r="C32" s="21">
        <f>INDEX(sommets5,A32,2)*LONG5</f>
        <v>59.5455565846428</v>
      </c>
      <c r="D32" s="21">
        <f>INDEX(sommets5,A32,3)*LONG5</f>
        <v>26.78258322306525</v>
      </c>
    </row>
    <row r="33" spans="1:17" ht="14.25">
      <c r="A33" s="17" t="s">
        <v>37</v>
      </c>
      <c r="B33" s="17"/>
      <c r="C33" s="17"/>
      <c r="D33" s="17"/>
      <c r="P33" t="s">
        <v>25</v>
      </c>
      <c r="Q33" t="s">
        <v>26</v>
      </c>
    </row>
    <row r="34" spans="1:17" ht="14.25">
      <c r="A34" s="18" t="s">
        <v>13</v>
      </c>
      <c r="B34" s="18" t="s">
        <v>14</v>
      </c>
      <c r="C34" s="18" t="s">
        <v>15</v>
      </c>
      <c r="D34" s="18" t="s">
        <v>16</v>
      </c>
      <c r="N34" s="33">
        <v>12</v>
      </c>
      <c r="O34">
        <f aca="true" t="shared" si="0" ref="O34:O44">RADIANS(N34)</f>
        <v>0.20943951023931956</v>
      </c>
      <c r="P34">
        <f aca="true" t="shared" si="1" ref="P34:P44">COS(O34)</f>
        <v>0.9781476007338057</v>
      </c>
      <c r="Q34">
        <f aca="true" t="shared" si="2" ref="Q34:Q42">SIN(O34)</f>
        <v>0.20791169081775934</v>
      </c>
    </row>
    <row r="35" spans="1:17" ht="14.25">
      <c r="A35" s="18">
        <v>1</v>
      </c>
      <c r="B35" s="21">
        <f>INDEX(sommets5,A35,1)*LONG5</f>
        <v>0</v>
      </c>
      <c r="C35" s="21">
        <f>INDEX(sommets5,A35,2)*LONG5</f>
        <v>0</v>
      </c>
      <c r="D35" s="21">
        <f>INDEX(sommets5,A35,3)*LONG5</f>
        <v>0</v>
      </c>
      <c r="N35">
        <f aca="true" t="shared" si="3" ref="N35:N44">36+N34</f>
        <v>48</v>
      </c>
      <c r="O35">
        <f t="shared" si="0"/>
        <v>0.8377580409572782</v>
      </c>
      <c r="P35">
        <f t="shared" si="1"/>
        <v>0.6691306063588582</v>
      </c>
      <c r="Q35">
        <f t="shared" si="2"/>
        <v>0.7431448254773942</v>
      </c>
    </row>
    <row r="36" spans="1:17" ht="14.25">
      <c r="A36" s="18">
        <v>6</v>
      </c>
      <c r="B36" s="21">
        <f>INDEX(sommets5,A36,1)*LONG5</f>
        <v>-103.13592936956881</v>
      </c>
      <c r="C36" s="21">
        <f>INDEX(sommets5,A36,2)*LONG5</f>
        <v>59.5455565846428</v>
      </c>
      <c r="D36" s="21">
        <f>INDEX(sommets5,A36,3)*LONG5</f>
        <v>26.78258322306525</v>
      </c>
      <c r="N36">
        <f t="shared" si="3"/>
        <v>84</v>
      </c>
      <c r="O36">
        <f t="shared" si="0"/>
        <v>1.4660765716752369</v>
      </c>
      <c r="P36">
        <f t="shared" si="1"/>
        <v>0.10452846326765346</v>
      </c>
      <c r="Q36">
        <f t="shared" si="2"/>
        <v>0.9945218953682733</v>
      </c>
    </row>
    <row r="37" spans="1:17" ht="14.25">
      <c r="A37" s="18">
        <v>11</v>
      </c>
      <c r="B37" s="21">
        <f>INDEX(sommets5,A37,1)*LONG5</f>
        <v>-78.37549466917352</v>
      </c>
      <c r="C37" s="21">
        <f>INDEX(sommets5,A37,2)*LONG5</f>
        <v>176.0342431998976</v>
      </c>
      <c r="D37" s="21">
        <f>INDEX(sommets5,A37,3)*LONG5</f>
        <v>53.5651664461305</v>
      </c>
      <c r="N37">
        <f t="shared" si="3"/>
        <v>120</v>
      </c>
      <c r="O37">
        <f t="shared" si="0"/>
        <v>2.0943951023931953</v>
      </c>
      <c r="P37">
        <f t="shared" si="1"/>
        <v>-0.4999999999999998</v>
      </c>
      <c r="Q37">
        <f t="shared" si="2"/>
        <v>0.8660254037844387</v>
      </c>
    </row>
    <row r="38" spans="1:17" ht="14.25">
      <c r="A38" s="18">
        <v>2</v>
      </c>
      <c r="B38" s="21">
        <f>INDEX(sommets5,A38,1)*LONG5</f>
        <v>24.760434700395294</v>
      </c>
      <c r="C38" s="21">
        <f>INDEX(sommets5,A38,2)*LONG5</f>
        <v>116.48868661525482</v>
      </c>
      <c r="D38" s="21">
        <f>INDEX(sommets5,A38,3)*LONG5</f>
        <v>26.78258322306525</v>
      </c>
      <c r="N38">
        <f t="shared" si="3"/>
        <v>156</v>
      </c>
      <c r="O38">
        <f t="shared" si="0"/>
        <v>2.722713633111154</v>
      </c>
      <c r="P38">
        <f t="shared" si="1"/>
        <v>-0.9135454576426008</v>
      </c>
      <c r="Q38">
        <f t="shared" si="2"/>
        <v>0.40673664307580043</v>
      </c>
    </row>
    <row r="39" spans="1:17" ht="14.25">
      <c r="A39" s="17" t="s">
        <v>38</v>
      </c>
      <c r="B39" s="17"/>
      <c r="C39" s="17"/>
      <c r="D39" s="17"/>
      <c r="N39">
        <f t="shared" si="3"/>
        <v>192</v>
      </c>
      <c r="O39">
        <f t="shared" si="0"/>
        <v>3.351032163829113</v>
      </c>
      <c r="P39">
        <f t="shared" si="1"/>
        <v>-0.9781476007338056</v>
      </c>
      <c r="Q39">
        <f t="shared" si="2"/>
        <v>-0.2079116908177595</v>
      </c>
    </row>
    <row r="40" spans="1:17" ht="14.25">
      <c r="A40" s="18" t="s">
        <v>13</v>
      </c>
      <c r="B40" s="18" t="s">
        <v>14</v>
      </c>
      <c r="C40" s="18" t="s">
        <v>15</v>
      </c>
      <c r="D40" s="18" t="s">
        <v>16</v>
      </c>
      <c r="N40">
        <f t="shared" si="3"/>
        <v>228</v>
      </c>
      <c r="O40">
        <f t="shared" si="0"/>
        <v>3.9793506945470716</v>
      </c>
      <c r="P40">
        <f t="shared" si="1"/>
        <v>-0.6691306063588581</v>
      </c>
      <c r="Q40">
        <f t="shared" si="2"/>
        <v>-0.7431448254773944</v>
      </c>
    </row>
    <row r="41" spans="1:17" ht="14.25">
      <c r="A41" s="18">
        <v>2</v>
      </c>
      <c r="B41" s="21">
        <f>INDEX(sommets5,A41,1)*LONG5</f>
        <v>24.760434700395294</v>
      </c>
      <c r="C41" s="21">
        <f>INDEX(sommets5,A41,2)*LONG5</f>
        <v>116.48868661525482</v>
      </c>
      <c r="D41" s="21">
        <f>INDEX(sommets5,A41,3)*LONG5</f>
        <v>26.78258322306525</v>
      </c>
      <c r="N41">
        <f t="shared" si="3"/>
        <v>264</v>
      </c>
      <c r="O41">
        <f t="shared" si="0"/>
        <v>4.60766922526503</v>
      </c>
      <c r="P41">
        <f t="shared" si="1"/>
        <v>-0.10452846326765336</v>
      </c>
      <c r="Q41">
        <f t="shared" si="2"/>
        <v>-0.9945218953682734</v>
      </c>
    </row>
    <row r="42" spans="1:17" ht="14.25">
      <c r="A42" s="18">
        <v>11</v>
      </c>
      <c r="B42" s="21">
        <f>INDEX(sommets5,A42,1)*LONG5</f>
        <v>-78.37549466917352</v>
      </c>
      <c r="C42" s="21">
        <f>INDEX(sommets5,A42,2)*LONG5</f>
        <v>176.0342431998976</v>
      </c>
      <c r="D42" s="21">
        <f>INDEX(sommets5,A42,3)*LONG5</f>
        <v>53.5651664461305</v>
      </c>
      <c r="N42">
        <f t="shared" si="3"/>
        <v>300</v>
      </c>
      <c r="O42">
        <f t="shared" si="0"/>
        <v>5.235987755982989</v>
      </c>
      <c r="P42">
        <f t="shared" si="1"/>
        <v>0.5000000000000001</v>
      </c>
      <c r="Q42">
        <f t="shared" si="2"/>
        <v>-0.8660254037844386</v>
      </c>
    </row>
    <row r="43" spans="1:17" ht="14.25">
      <c r="A43" s="18">
        <v>12</v>
      </c>
      <c r="B43" s="21">
        <f>INDEX(sommets5,A43,1)*LONG5</f>
        <v>40.063224921461895</v>
      </c>
      <c r="C43" s="21">
        <f>INDEX(sommets5,A43,2)*LONG5</f>
        <v>188.48265424831723</v>
      </c>
      <c r="D43" s="21">
        <f>INDEX(sommets5,A43,3)*LONG5</f>
        <v>80.34774966919575</v>
      </c>
      <c r="N43">
        <f t="shared" si="3"/>
        <v>336</v>
      </c>
      <c r="O43">
        <f t="shared" si="0"/>
        <v>5.8643062867009474</v>
      </c>
      <c r="P43">
        <f t="shared" si="1"/>
        <v>0.913545457642601</v>
      </c>
      <c r="Q43">
        <f>SIN(O43)</f>
        <v>-0.40673664307580015</v>
      </c>
    </row>
    <row r="44" spans="1:17" ht="14.25">
      <c r="A44" s="18">
        <v>7</v>
      </c>
      <c r="B44" s="21">
        <f>INDEX(sommets5,A44,1)*LONG5</f>
        <v>143.1991542910307</v>
      </c>
      <c r="C44" s="21">
        <f>INDEX(sommets5,A44,2)*LONG5</f>
        <v>128.93709766367442</v>
      </c>
      <c r="D44" s="21">
        <f>INDEX(sommets5,A44,3)*LONG5</f>
        <v>53.5651664461305</v>
      </c>
      <c r="N44">
        <f t="shared" si="3"/>
        <v>372</v>
      </c>
      <c r="O44">
        <f t="shared" si="0"/>
        <v>6.492624817418906</v>
      </c>
      <c r="P44">
        <f t="shared" si="1"/>
        <v>0.9781476007338056</v>
      </c>
      <c r="Q44">
        <f>SIN(O44)</f>
        <v>0.20791169081775937</v>
      </c>
    </row>
    <row r="45" spans="1:4" ht="14.25">
      <c r="A45" s="17" t="s">
        <v>39</v>
      </c>
      <c r="B45" s="17"/>
      <c r="C45" s="17"/>
      <c r="D45" s="17"/>
    </row>
    <row r="46" spans="1:4" ht="14.25">
      <c r="A46" s="18" t="s">
        <v>13</v>
      </c>
      <c r="B46" s="18" t="s">
        <v>14</v>
      </c>
      <c r="C46" s="18" t="s">
        <v>15</v>
      </c>
      <c r="D46" s="18" t="s">
        <v>16</v>
      </c>
    </row>
    <row r="47" spans="1:4" ht="14.25">
      <c r="A47" s="18">
        <v>3</v>
      </c>
      <c r="B47" s="21">
        <f>INDEX(sommets5,A47,1)*LONG5</f>
        <v>118.43871959063543</v>
      </c>
      <c r="C47" s="21">
        <f>INDEX(sommets5,A47,2)*LONG5</f>
        <v>12.44841104841963</v>
      </c>
      <c r="D47" s="21">
        <f>INDEX(sommets5,A47,3)*LONG5</f>
        <v>26.78258322306525</v>
      </c>
    </row>
    <row r="48" spans="1:4" ht="14.25">
      <c r="A48" s="18">
        <v>7</v>
      </c>
      <c r="B48" s="21">
        <f>INDEX(sommets5,A48,1)*LONG5</f>
        <v>143.1991542910307</v>
      </c>
      <c r="C48" s="21">
        <f>INDEX(sommets5,A48,2)*LONG5</f>
        <v>128.93709766367442</v>
      </c>
      <c r="D48" s="21">
        <f>INDEX(sommets5,A48,3)*LONG5</f>
        <v>53.5651664461305</v>
      </c>
    </row>
    <row r="49" spans="1:4" ht="14.25">
      <c r="A49" s="18">
        <v>13</v>
      </c>
      <c r="B49" s="21">
        <f>INDEX(sommets5,A49,1)*LONG5</f>
        <v>191.63787388166614</v>
      </c>
      <c r="C49" s="21">
        <f>INDEX(sommets5,A49,2)*LONG5</f>
        <v>20.14195218227267</v>
      </c>
      <c r="D49" s="21">
        <f>INDEX(sommets5,A49,3)*LONG5</f>
        <v>80.34774966919575</v>
      </c>
    </row>
    <row r="50" spans="1:4" ht="14.25">
      <c r="A50" s="18">
        <v>8</v>
      </c>
      <c r="B50" s="21">
        <f>INDEX(sommets5,A50,1)*LONG5</f>
        <v>166.87743918127086</v>
      </c>
      <c r="C50" s="21">
        <f>INDEX(sommets5,A50,2)*LONG5</f>
        <v>-96.34673443298209</v>
      </c>
      <c r="D50" s="21">
        <f>INDEX(sommets5,A50,3)*LONG5</f>
        <v>53.5651664461305</v>
      </c>
    </row>
    <row r="51" spans="1:4" ht="14.25">
      <c r="A51" s="17" t="s">
        <v>40</v>
      </c>
      <c r="B51" s="17"/>
      <c r="C51" s="17"/>
      <c r="D51" s="17"/>
    </row>
    <row r="52" spans="1:4" ht="14.25">
      <c r="A52" s="18" t="s">
        <v>13</v>
      </c>
      <c r="B52" s="18" t="s">
        <v>14</v>
      </c>
      <c r="C52" s="18" t="s">
        <v>15</v>
      </c>
      <c r="D52" s="18" t="s">
        <v>16</v>
      </c>
    </row>
    <row r="53" spans="1:4" ht="14.25">
      <c r="A53" s="18">
        <v>4</v>
      </c>
      <c r="B53" s="21">
        <f>INDEX(sommets5,A53,1)*LONG5</f>
        <v>48.438719590635465</v>
      </c>
      <c r="C53" s="21">
        <f>INDEX(sommets5,A53,2)*LONG5</f>
        <v>-108.79514548140175</v>
      </c>
      <c r="D53" s="21">
        <f>INDEX(sommets5,A53,3)*LONG5</f>
        <v>26.78258322306525</v>
      </c>
    </row>
    <row r="54" spans="1:4" ht="14.25">
      <c r="A54" s="18">
        <v>8</v>
      </c>
      <c r="B54" s="21">
        <f>INDEX(sommets5,A54,1)*LONG5</f>
        <v>166.87743918127086</v>
      </c>
      <c r="C54" s="21">
        <f>INDEX(sommets5,A54,2)*LONG5</f>
        <v>-96.34673443298209</v>
      </c>
      <c r="D54" s="21">
        <f>INDEX(sommets5,A54,3)*LONG5</f>
        <v>53.5651664461305</v>
      </c>
    </row>
    <row r="55" spans="1:4" ht="14.25">
      <c r="A55" s="18">
        <v>14</v>
      </c>
      <c r="B55" s="21">
        <f>INDEX(sommets5,A55,1)*LONG5</f>
        <v>78.37549466917356</v>
      </c>
      <c r="C55" s="21">
        <f>INDEX(sommets5,A55,2)*LONG5</f>
        <v>-176.03424319989756</v>
      </c>
      <c r="D55" s="21">
        <f>INDEX(sommets5,A55,3)*LONG5</f>
        <v>80.34774966919575</v>
      </c>
    </row>
    <row r="56" spans="1:4" ht="14.25">
      <c r="A56" s="18">
        <v>9</v>
      </c>
      <c r="B56" s="21">
        <f>INDEX(sommets5,A56,1)*LONG5</f>
        <v>-40.063224921461924</v>
      </c>
      <c r="C56" s="21">
        <f>INDEX(sommets5,A56,2)*LONG5</f>
        <v>-188.4826542483172</v>
      </c>
      <c r="D56" s="21">
        <f>INDEX(sommets5,A56,3)*LONG5</f>
        <v>53.5651664461305</v>
      </c>
    </row>
    <row r="57" spans="1:4" ht="14.25">
      <c r="A57" s="17" t="s">
        <v>41</v>
      </c>
      <c r="B57" s="17"/>
      <c r="C57" s="17"/>
      <c r="D57" s="17"/>
    </row>
    <row r="58" spans="1:4" ht="14.25">
      <c r="A58" s="18" t="s">
        <v>13</v>
      </c>
      <c r="B58" s="18" t="s">
        <v>14</v>
      </c>
      <c r="C58" s="18" t="s">
        <v>15</v>
      </c>
      <c r="D58" s="18" t="s">
        <v>16</v>
      </c>
    </row>
    <row r="59" spans="1:4" ht="14.25">
      <c r="A59" s="18">
        <v>5</v>
      </c>
      <c r="B59" s="21">
        <f>INDEX(sommets5,A59,1)*LONG5</f>
        <v>-88.50194451209735</v>
      </c>
      <c r="C59" s="21">
        <f>INDEX(sommets5,A59,2)*LONG5</f>
        <v>-79.68750876691544</v>
      </c>
      <c r="D59" s="21">
        <f>INDEX(sommets5,A59,3)*LONG5</f>
        <v>26.78258322306525</v>
      </c>
    </row>
    <row r="60" spans="1:4" ht="14.25">
      <c r="A60" s="18">
        <v>9</v>
      </c>
      <c r="B60" s="21">
        <f>INDEX(sommets5,A60,1)*LONG5</f>
        <v>-40.063224921461924</v>
      </c>
      <c r="C60" s="21">
        <f>INDEX(sommets5,A60,2)*LONG5</f>
        <v>-188.4826542483172</v>
      </c>
      <c r="D60" s="21">
        <f>INDEX(sommets5,A60,3)*LONG5</f>
        <v>53.5651664461305</v>
      </c>
    </row>
    <row r="61" spans="1:4" ht="14.25">
      <c r="A61" s="18">
        <v>15</v>
      </c>
      <c r="B61" s="21">
        <f>INDEX(sommets5,A61,1)*LONG5</f>
        <v>-143.19915429103074</v>
      </c>
      <c r="C61" s="21">
        <f>INDEX(sommets5,A61,2)*LONG5</f>
        <v>-128.9370976636744</v>
      </c>
      <c r="D61" s="21">
        <f>INDEX(sommets5,A61,3)*LONG5</f>
        <v>80.34774966919575</v>
      </c>
    </row>
    <row r="62" spans="1:4" ht="14.25">
      <c r="A62" s="18">
        <v>10</v>
      </c>
      <c r="B62" s="21">
        <f>INDEX(sommets5,A62,1)*LONG5</f>
        <v>-191.63787388166617</v>
      </c>
      <c r="C62" s="21">
        <f>INDEX(sommets5,A62,2)*LONG5</f>
        <v>-20.14195218227265</v>
      </c>
      <c r="D62" s="21">
        <f>INDEX(sommets5,A62,3)*LONG5</f>
        <v>53.5651664461305</v>
      </c>
    </row>
    <row r="63" spans="1:4" ht="14.25">
      <c r="A63" s="17" t="s">
        <v>42</v>
      </c>
      <c r="B63" s="17"/>
      <c r="C63" s="17"/>
      <c r="D63" s="17"/>
    </row>
    <row r="64" spans="1:4" ht="14.25">
      <c r="A64" s="18" t="s">
        <v>13</v>
      </c>
      <c r="B64" s="18" t="s">
        <v>14</v>
      </c>
      <c r="C64" s="18" t="s">
        <v>15</v>
      </c>
      <c r="D64" s="18" t="s">
        <v>16</v>
      </c>
    </row>
    <row r="65" spans="1:4" ht="14.25">
      <c r="A65" s="18">
        <v>6</v>
      </c>
      <c r="B65" s="21">
        <f>INDEX(sommets5,A65,1)*LONG5</f>
        <v>-103.13592936956881</v>
      </c>
      <c r="C65" s="21">
        <f>INDEX(sommets5,A65,2)*LONG5</f>
        <v>59.5455565846428</v>
      </c>
      <c r="D65" s="21">
        <f>INDEX(sommets5,A65,3)*LONG5</f>
        <v>26.78258322306525</v>
      </c>
    </row>
    <row r="66" spans="1:4" ht="14.25">
      <c r="A66" s="18">
        <v>10</v>
      </c>
      <c r="B66" s="21">
        <f>INDEX(sommets5,A66,1)*LONG5</f>
        <v>-191.63787388166617</v>
      </c>
      <c r="C66" s="21">
        <f>INDEX(sommets5,A66,2)*LONG5</f>
        <v>-20.14195218227265</v>
      </c>
      <c r="D66" s="21">
        <f>INDEX(sommets5,A66,3)*LONG5</f>
        <v>53.5651664461305</v>
      </c>
    </row>
    <row r="67" spans="1:4" ht="14.25">
      <c r="A67" s="18">
        <v>16</v>
      </c>
      <c r="B67" s="21">
        <f>INDEX(sommets5,A67,1)*LONG5</f>
        <v>-166.87743918127086</v>
      </c>
      <c r="C67" s="21">
        <f>INDEX(sommets5,A67,2)*LONG5</f>
        <v>96.34673443298215</v>
      </c>
      <c r="D67" s="21">
        <f>INDEX(sommets5,A67,3)*LONG5</f>
        <v>80.34774966919575</v>
      </c>
    </row>
    <row r="68" spans="1:4" ht="14.25">
      <c r="A68" s="18">
        <v>11</v>
      </c>
      <c r="B68" s="21">
        <f>INDEX(sommets5,A68,1)*LONG5</f>
        <v>-78.37549466917352</v>
      </c>
      <c r="C68" s="21">
        <f>INDEX(sommets5,A68,2)*LONG5</f>
        <v>176.0342431998976</v>
      </c>
      <c r="D68" s="21">
        <f>INDEX(sommets5,A68,3)*LONG5</f>
        <v>53.5651664461305</v>
      </c>
    </row>
  </sheetData>
  <mergeCells count="3">
    <mergeCell ref="F1:L1"/>
    <mergeCell ref="A4:C4"/>
    <mergeCell ref="A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_ordre6"/>
  <dimension ref="A1:R80"/>
  <sheetViews>
    <sheetView zoomScale="75" zoomScaleNormal="75" workbookViewId="0" topLeftCell="A1">
      <selection activeCell="N38" sqref="N38"/>
    </sheetView>
  </sheetViews>
  <sheetFormatPr defaultColWidth="9.00390625" defaultRowHeight="14.25"/>
  <cols>
    <col min="1" max="1" width="12.75390625" style="0" customWidth="1"/>
    <col min="2" max="4" width="10.625" style="0" customWidth="1"/>
    <col min="13" max="13" width="30.00390625" style="0" customWidth="1"/>
    <col min="15" max="15" width="12.25390625" style="0" bestFit="1" customWidth="1"/>
    <col min="16" max="16" width="12.875" style="0" bestFit="1" customWidth="1"/>
  </cols>
  <sheetData>
    <row r="1" spans="1:12" s="1" customFormat="1" ht="42" customHeight="1">
      <c r="A1" s="11" t="s">
        <v>8</v>
      </c>
      <c r="B1" s="11"/>
      <c r="C1" s="12">
        <v>6</v>
      </c>
      <c r="D1" s="11"/>
      <c r="E1" s="11"/>
      <c r="F1" s="36"/>
      <c r="G1" s="36"/>
      <c r="H1" s="36"/>
      <c r="I1" s="36"/>
      <c r="J1" s="36"/>
      <c r="K1" s="36"/>
      <c r="L1" s="36"/>
    </row>
    <row r="2" spans="12:14" ht="14.25">
      <c r="L2" s="27" t="s">
        <v>45</v>
      </c>
      <c r="M2" t="s">
        <v>18</v>
      </c>
      <c r="N2">
        <f>RAP6</f>
        <v>0.5</v>
      </c>
    </row>
    <row r="3" spans="1:14" ht="14.25">
      <c r="A3" s="14"/>
      <c r="B3" s="14"/>
      <c r="C3" s="14"/>
      <c r="D3" s="14"/>
      <c r="E3" s="13"/>
      <c r="L3" s="27" t="s">
        <v>46</v>
      </c>
      <c r="M3" t="s">
        <v>19</v>
      </c>
      <c r="N3">
        <f>N2/(2*SIN(RADIANS(30)))</f>
        <v>0.5</v>
      </c>
    </row>
    <row r="4" spans="1:14" ht="14.25">
      <c r="A4" s="37" t="s">
        <v>9</v>
      </c>
      <c r="B4" s="37"/>
      <c r="C4" s="37"/>
      <c r="D4" s="31">
        <v>0.5</v>
      </c>
      <c r="E4" s="16" t="s">
        <v>17</v>
      </c>
      <c r="F4" s="25">
        <f>1/SQRT(3)</f>
        <v>0.5773502691896258</v>
      </c>
      <c r="L4" s="27" t="s">
        <v>46</v>
      </c>
      <c r="M4" t="s">
        <v>20</v>
      </c>
      <c r="N4">
        <f>SQRT(POWER(0.5,2)+POWER(N2/2,2))</f>
        <v>0.5590169943749475</v>
      </c>
    </row>
    <row r="5" spans="1:14" ht="15">
      <c r="A5" s="6"/>
      <c r="B5" s="6"/>
      <c r="C5" s="6"/>
      <c r="D5" s="26"/>
      <c r="L5" s="27"/>
      <c r="M5" t="s">
        <v>21</v>
      </c>
      <c r="N5">
        <f>SQRT(POWER(N4,2)-POWER(N3,2))</f>
        <v>0.2500000000000001</v>
      </c>
    </row>
    <row r="6" spans="1:14" ht="14.25">
      <c r="A6" s="37" t="s">
        <v>10</v>
      </c>
      <c r="B6" s="37"/>
      <c r="C6" s="37"/>
      <c r="D6" s="24">
        <v>200</v>
      </c>
      <c r="L6" s="27" t="s">
        <v>33</v>
      </c>
      <c r="M6" t="s">
        <v>22</v>
      </c>
      <c r="N6">
        <f>DEGREES(ASIN(N5/0.5))</f>
        <v>30.000000000000018</v>
      </c>
    </row>
    <row r="7" spans="1:14" ht="14.25">
      <c r="A7" s="6"/>
      <c r="B7" s="6"/>
      <c r="C7" s="6"/>
      <c r="D7" s="6"/>
      <c r="L7" s="27" t="s">
        <v>33</v>
      </c>
      <c r="M7" t="s">
        <v>27</v>
      </c>
      <c r="N7">
        <f>COS(RADIANS(N6))</f>
        <v>0.8660254037844385</v>
      </c>
    </row>
    <row r="8" spans="1:14" ht="14.25">
      <c r="A8" s="15" t="s">
        <v>11</v>
      </c>
      <c r="B8" s="15"/>
      <c r="C8" s="15"/>
      <c r="D8" s="15"/>
      <c r="E8" s="22"/>
      <c r="L8" s="27" t="s">
        <v>35</v>
      </c>
      <c r="M8" t="s">
        <v>28</v>
      </c>
      <c r="N8">
        <f>2*(N7*COS(RADIANS(30))-N3)</f>
        <v>0.4999999999999998</v>
      </c>
    </row>
    <row r="9" spans="1:14" ht="14.25">
      <c r="A9" s="17" t="s">
        <v>12</v>
      </c>
      <c r="B9" s="17"/>
      <c r="C9" s="17"/>
      <c r="D9" s="17"/>
      <c r="E9" s="13"/>
      <c r="L9" s="27" t="s">
        <v>51</v>
      </c>
      <c r="M9" t="s">
        <v>29</v>
      </c>
      <c r="N9">
        <f>2*N7*SIN(RADIANS(30))</f>
        <v>0.8660254037844384</v>
      </c>
    </row>
    <row r="10" spans="1:18" ht="14.25">
      <c r="A10" s="18" t="s">
        <v>13</v>
      </c>
      <c r="B10" s="18" t="s">
        <v>14</v>
      </c>
      <c r="C10" s="18" t="s">
        <v>15</v>
      </c>
      <c r="D10" s="18" t="s">
        <v>16</v>
      </c>
      <c r="E10" s="23"/>
      <c r="L10" s="27" t="s">
        <v>51</v>
      </c>
      <c r="M10" t="s">
        <v>30</v>
      </c>
      <c r="N10">
        <f>SQRT(SUM(POWER(N8,2),POWER(2*N5,2)))</f>
        <v>0.7071067811865476</v>
      </c>
      <c r="R10" s="6"/>
    </row>
    <row r="11" spans="1:18" ht="14.25">
      <c r="A11" s="18">
        <v>1</v>
      </c>
      <c r="B11" s="21">
        <f>INDEX(sommets6,A11,1)*LONG6</f>
        <v>0</v>
      </c>
      <c r="C11" s="21">
        <f>INDEX(sommets6,A11,2)*LONG6</f>
        <v>0</v>
      </c>
      <c r="D11" s="21">
        <f>INDEX(sommets6,A11,3)*LONG6</f>
        <v>0</v>
      </c>
      <c r="E11" s="23"/>
      <c r="L11" s="27" t="s">
        <v>51</v>
      </c>
      <c r="M11" t="s">
        <v>31</v>
      </c>
      <c r="N11">
        <f>DEGREES(ASIN((2*N5)/N10))</f>
        <v>45.00000000000003</v>
      </c>
      <c r="R11" s="6"/>
    </row>
    <row r="12" spans="1:18" ht="14.25">
      <c r="A12" s="18">
        <v>13</v>
      </c>
      <c r="B12" s="21">
        <f>INDEX(sommets6,A12,1)*LONG6</f>
        <v>-34.20201433256686</v>
      </c>
      <c r="C12" s="21">
        <f>INDEX(sommets6,A12,2)*LONG6</f>
        <v>93.96926207859084</v>
      </c>
      <c r="D12" s="21">
        <f>INDEX(sommets6,A12,3)*LONG6</f>
        <v>50.00000000000002</v>
      </c>
      <c r="E12" s="23"/>
      <c r="L12" s="27"/>
      <c r="R12" s="6"/>
    </row>
    <row r="13" spans="1:18" ht="14.25">
      <c r="A13" s="18">
        <v>2</v>
      </c>
      <c r="B13" s="21">
        <f>INDEX(sommets6,A13,1)*LONG6</f>
        <v>30.076746636087048</v>
      </c>
      <c r="C13" s="21">
        <f>INDEX(sommets6,A13,2)*LONG6</f>
        <v>170.5737063904886</v>
      </c>
      <c r="D13" s="21">
        <f>INDEX(sommets6,A13,3)*LONG6</f>
        <v>100.00000000000004</v>
      </c>
      <c r="E13" s="23"/>
      <c r="L13" s="27"/>
      <c r="R13" s="6"/>
    </row>
    <row r="14" spans="1:18" ht="14.25">
      <c r="A14" s="18">
        <v>3</v>
      </c>
      <c r="B14" s="21">
        <f>INDEX(sommets6,A14,1)*LONG6</f>
        <v>64.27876096865393</v>
      </c>
      <c r="C14" s="21">
        <f>INDEX(sommets6,A14,2)*LONG6</f>
        <v>76.60444431189781</v>
      </c>
      <c r="D14" s="21">
        <f>INDEX(sommets6,A14,3)*LONG6</f>
        <v>50.00000000000002</v>
      </c>
      <c r="E14" s="23"/>
      <c r="L14" s="27"/>
      <c r="R14" s="6"/>
    </row>
    <row r="15" spans="1:18" ht="14.25">
      <c r="A15" s="17" t="s">
        <v>23</v>
      </c>
      <c r="B15" s="17"/>
      <c r="C15" s="17"/>
      <c r="D15" s="17"/>
      <c r="E15" s="23"/>
      <c r="L15" s="27"/>
      <c r="N15" s="20" t="s">
        <v>13</v>
      </c>
      <c r="O15" s="20" t="s">
        <v>14</v>
      </c>
      <c r="P15" s="20" t="s">
        <v>15</v>
      </c>
      <c r="Q15" s="20" t="s">
        <v>16</v>
      </c>
      <c r="R15" s="6"/>
    </row>
    <row r="16" spans="1:18" ht="14.25">
      <c r="A16" s="18" t="s">
        <v>13</v>
      </c>
      <c r="B16" s="18" t="s">
        <v>14</v>
      </c>
      <c r="C16" s="18" t="s">
        <v>15</v>
      </c>
      <c r="D16" s="18" t="s">
        <v>16</v>
      </c>
      <c r="E16" s="23"/>
      <c r="N16" s="20">
        <v>1</v>
      </c>
      <c r="O16" s="20">
        <v>0</v>
      </c>
      <c r="P16" s="20">
        <v>0</v>
      </c>
      <c r="Q16" s="20">
        <v>0</v>
      </c>
      <c r="R16" s="6"/>
    </row>
    <row r="17" spans="1:18" ht="14.25">
      <c r="A17" s="18">
        <v>1</v>
      </c>
      <c r="B17" s="21">
        <f>INDEX(sommets6,A17,1)*LONG6</f>
        <v>0</v>
      </c>
      <c r="C17" s="21">
        <f>INDEX(sommets6,A17,2)*LONG6</f>
        <v>0</v>
      </c>
      <c r="D17" s="21">
        <f>INDEX(sommets6,A17,3)*LONG6</f>
        <v>0</v>
      </c>
      <c r="E17" s="23"/>
      <c r="N17" s="20">
        <v>2</v>
      </c>
      <c r="O17" s="20">
        <f>q6l2*SIN(O37)</f>
        <v>0.15038373318043524</v>
      </c>
      <c r="P17" s="20">
        <f>q6l2*COS(O37)</f>
        <v>0.852868531952443</v>
      </c>
      <c r="Q17" s="20">
        <f>2*q6h1</f>
        <v>0.5000000000000002</v>
      </c>
      <c r="R17" s="6"/>
    </row>
    <row r="18" spans="1:17" ht="14.25">
      <c r="A18" s="18">
        <v>3</v>
      </c>
      <c r="B18" s="21">
        <f>INDEX(sommets6,A18,1)*LONG6</f>
        <v>64.27876096865393</v>
      </c>
      <c r="C18" s="21">
        <f>INDEX(sommets6,A18,2)*LONG6</f>
        <v>76.60444431189781</v>
      </c>
      <c r="D18" s="21">
        <f>INDEX(sommets6,A18,3)*LONG6</f>
        <v>50.00000000000002</v>
      </c>
      <c r="N18" s="20">
        <v>3</v>
      </c>
      <c r="O18" s="20">
        <f>q6l1*SIN(O38)</f>
        <v>0.3213938048432696</v>
      </c>
      <c r="P18" s="20">
        <f>q6l1*COS(O38)</f>
        <v>0.383022221559489</v>
      </c>
      <c r="Q18" s="20">
        <f>q6h1</f>
        <v>0.2500000000000001</v>
      </c>
    </row>
    <row r="19" spans="1:17" ht="14.25">
      <c r="A19" s="18">
        <v>4</v>
      </c>
      <c r="B19" s="21">
        <f>INDEX(sommets6,A19,1)*LONG6</f>
        <v>162.7595362698747</v>
      </c>
      <c r="C19" s="21">
        <f>INDEX(sommets6,A19,2)*LONG6</f>
        <v>59.23962654520477</v>
      </c>
      <c r="D19" s="21">
        <f>INDEX(sommets6,A19,3)*LONG6</f>
        <v>100.00000000000004</v>
      </c>
      <c r="N19" s="20">
        <v>4</v>
      </c>
      <c r="O19" s="20">
        <f>q6l2*SIN(O39)</f>
        <v>0.8137976813493735</v>
      </c>
      <c r="P19" s="20">
        <f>q6l2*COS(O39)</f>
        <v>0.29619813272602386</v>
      </c>
      <c r="Q19" s="20">
        <f>2*q6h1</f>
        <v>0.5000000000000002</v>
      </c>
    </row>
    <row r="20" spans="1:17" ht="14.25">
      <c r="A20" s="18">
        <v>5</v>
      </c>
      <c r="B20" s="21">
        <f>INDEX(sommets6,A20,1)*LONG6</f>
        <v>98.4807753012208</v>
      </c>
      <c r="C20" s="21">
        <f>INDEX(sommets6,A20,2)*LONG6</f>
        <v>-17.36481776669303</v>
      </c>
      <c r="D20" s="21">
        <f>INDEX(sommets6,A20,3)*LONG6</f>
        <v>50.00000000000002</v>
      </c>
      <c r="N20" s="20">
        <v>5</v>
      </c>
      <c r="O20" s="20">
        <f>q6l1*SIN(O40)</f>
        <v>0.492403876506104</v>
      </c>
      <c r="P20" s="20">
        <f>q6l1*COS(O40)</f>
        <v>-0.08682408883346515</v>
      </c>
      <c r="Q20" s="20">
        <f>q6h1</f>
        <v>0.2500000000000001</v>
      </c>
    </row>
    <row r="21" spans="1:17" ht="14.25">
      <c r="A21" s="17" t="s">
        <v>24</v>
      </c>
      <c r="B21" s="17"/>
      <c r="C21" s="17"/>
      <c r="D21" s="17"/>
      <c r="N21" s="20">
        <v>6</v>
      </c>
      <c r="O21" s="20">
        <f>q6l2*SIN(O41)</f>
        <v>0.6634139481689383</v>
      </c>
      <c r="P21" s="20">
        <f>q6l2*COS(O41)</f>
        <v>-0.5566703992264193</v>
      </c>
      <c r="Q21" s="20">
        <f>2*q6h1</f>
        <v>0.5000000000000002</v>
      </c>
    </row>
    <row r="22" spans="1:17" ht="14.25">
      <c r="A22" s="18" t="s">
        <v>13</v>
      </c>
      <c r="B22" s="18" t="s">
        <v>14</v>
      </c>
      <c r="C22" s="18" t="s">
        <v>15</v>
      </c>
      <c r="D22" s="18" t="s">
        <v>16</v>
      </c>
      <c r="N22" s="20">
        <v>7</v>
      </c>
      <c r="O22" s="20">
        <f>q6l1*SIN(O42)</f>
        <v>0.17101007166283444</v>
      </c>
      <c r="P22" s="20">
        <f>q6l1*COS(O42)</f>
        <v>-0.46984631039295416</v>
      </c>
      <c r="Q22" s="20">
        <f>q6h1</f>
        <v>0.2500000000000001</v>
      </c>
    </row>
    <row r="23" spans="1:17" ht="14.25">
      <c r="A23" s="18">
        <v>1</v>
      </c>
      <c r="B23" s="21">
        <f>INDEX(sommets6,A23,1)*LONG6</f>
        <v>0</v>
      </c>
      <c r="C23" s="21">
        <f>INDEX(sommets6,A23,2)*LONG6</f>
        <v>0</v>
      </c>
      <c r="D23" s="21">
        <f>INDEX(sommets6,A23,3)*LONG6</f>
        <v>0</v>
      </c>
      <c r="N23" s="20">
        <v>8</v>
      </c>
      <c r="O23" s="20">
        <f>q6l2*SIN(O43)</f>
        <v>-0.15038373318043538</v>
      </c>
      <c r="P23" s="20">
        <f>q6l2*COS(O43)</f>
        <v>-0.852868531952443</v>
      </c>
      <c r="Q23" s="20">
        <f>2*q6h1</f>
        <v>0.5000000000000002</v>
      </c>
    </row>
    <row r="24" spans="1:17" ht="14.25">
      <c r="A24" s="18">
        <v>5</v>
      </c>
      <c r="B24" s="21">
        <f>INDEX(sommets6,A24,1)*LONG6</f>
        <v>98.4807753012208</v>
      </c>
      <c r="C24" s="21">
        <f>INDEX(sommets6,A24,2)*LONG6</f>
        <v>-17.36481776669303</v>
      </c>
      <c r="D24" s="21">
        <f>INDEX(sommets6,A24,3)*LONG6</f>
        <v>50.00000000000002</v>
      </c>
      <c r="N24" s="20">
        <v>9</v>
      </c>
      <c r="O24" s="20">
        <f>q6l1*SIN(O44)</f>
        <v>-0.3213938048432696</v>
      </c>
      <c r="P24" s="20">
        <f>q6l1*COS(O44)</f>
        <v>-0.383022221559489</v>
      </c>
      <c r="Q24" s="20">
        <f>q6h1</f>
        <v>0.2500000000000001</v>
      </c>
    </row>
    <row r="25" spans="1:17" ht="14.25">
      <c r="A25" s="18">
        <v>6</v>
      </c>
      <c r="B25" s="21">
        <f>INDEX(sommets6,A25,1)*LONG6</f>
        <v>132.68278963378765</v>
      </c>
      <c r="C25" s="21">
        <f>INDEX(sommets6,A25,2)*LONG6</f>
        <v>-111.33407984528385</v>
      </c>
      <c r="D25" s="21">
        <f>INDEX(sommets6,A25,3)*LONG6</f>
        <v>100.00000000000004</v>
      </c>
      <c r="N25" s="20">
        <v>10</v>
      </c>
      <c r="O25" s="20">
        <f>q6l2*SIN(O45)</f>
        <v>-0.8137976813493736</v>
      </c>
      <c r="P25" s="20">
        <f>q6l2*COS(O45)</f>
        <v>-0.29619813272602363</v>
      </c>
      <c r="Q25" s="20">
        <f>2*q6h1</f>
        <v>0.5000000000000002</v>
      </c>
    </row>
    <row r="26" spans="1:17" ht="14.25">
      <c r="A26" s="18">
        <v>7</v>
      </c>
      <c r="B26" s="21">
        <f>INDEX(sommets6,A26,1)*LONG6</f>
        <v>34.20201433256689</v>
      </c>
      <c r="C26" s="21">
        <f>INDEX(sommets6,A26,2)*LONG6</f>
        <v>-93.96926207859083</v>
      </c>
      <c r="D26" s="21">
        <f>INDEX(sommets6,A26,3)*LONG6</f>
        <v>50.00000000000002</v>
      </c>
      <c r="N26" s="20">
        <v>11</v>
      </c>
      <c r="O26" s="20">
        <f>q6l1*SIN(O46)</f>
        <v>-0.49240387650610407</v>
      </c>
      <c r="P26" s="20">
        <f>q6l1*COS(O46)</f>
        <v>0.08682408883346499</v>
      </c>
      <c r="Q26" s="20">
        <f>q6h1</f>
        <v>0.2500000000000001</v>
      </c>
    </row>
    <row r="27" spans="1:17" ht="14.25">
      <c r="A27" s="17" t="s">
        <v>36</v>
      </c>
      <c r="B27" s="17"/>
      <c r="C27" s="17"/>
      <c r="D27" s="17"/>
      <c r="N27" s="20">
        <v>12</v>
      </c>
      <c r="O27" s="20">
        <f>q6l2*SIN(O47)</f>
        <v>-0.6634139481689384</v>
      </c>
      <c r="P27" s="20">
        <f>q6l2*COS(O47)</f>
        <v>0.5566703992264191</v>
      </c>
      <c r="Q27" s="20">
        <f>2*q6h1</f>
        <v>0.5000000000000002</v>
      </c>
    </row>
    <row r="28" spans="1:17" ht="14.25">
      <c r="A28" s="18" t="s">
        <v>13</v>
      </c>
      <c r="B28" s="18" t="s">
        <v>14</v>
      </c>
      <c r="C28" s="18" t="s">
        <v>15</v>
      </c>
      <c r="D28" s="18" t="s">
        <v>16</v>
      </c>
      <c r="N28" s="20">
        <v>13</v>
      </c>
      <c r="O28" s="20">
        <f>q6l1*SIN(O48)</f>
        <v>-0.1710100716628343</v>
      </c>
      <c r="P28" s="20">
        <f>q6l1*COS(O48)</f>
        <v>0.4698463103929542</v>
      </c>
      <c r="Q28" s="20">
        <f>q6h1</f>
        <v>0.2500000000000001</v>
      </c>
    </row>
    <row r="29" spans="1:17" ht="14.25">
      <c r="A29" s="18">
        <v>1</v>
      </c>
      <c r="B29" s="21">
        <f>INDEX(sommets6,A29,1)*LONG6</f>
        <v>0</v>
      </c>
      <c r="C29" s="21">
        <f>INDEX(sommets6,A29,2)*LONG6</f>
        <v>0</v>
      </c>
      <c r="D29" s="21">
        <f>INDEX(sommets6,A29,3)*LONG6</f>
        <v>0</v>
      </c>
      <c r="N29" s="20">
        <v>14</v>
      </c>
      <c r="O29" s="20">
        <f>q6l1*2*SIN(O38)</f>
        <v>0.6427876096865393</v>
      </c>
      <c r="P29" s="20">
        <f>q6l1*2*COS(O38)</f>
        <v>0.766044443118978</v>
      </c>
      <c r="Q29" s="20">
        <f aca="true" t="shared" si="0" ref="Q29:Q34">3*q6h1</f>
        <v>0.7500000000000003</v>
      </c>
    </row>
    <row r="30" spans="1:17" ht="14.25">
      <c r="A30" s="18">
        <v>7</v>
      </c>
      <c r="B30" s="21">
        <f>INDEX(sommets6,A30,1)*LONG6</f>
        <v>34.20201433256689</v>
      </c>
      <c r="C30" s="21">
        <f>INDEX(sommets6,A30,2)*LONG6</f>
        <v>-93.96926207859083</v>
      </c>
      <c r="D30" s="21">
        <f>INDEX(sommets6,A30,3)*LONG6</f>
        <v>50.00000000000002</v>
      </c>
      <c r="N30" s="20">
        <v>15</v>
      </c>
      <c r="O30" s="20">
        <f>q6l1*2*SIN(O40)</f>
        <v>0.984807753012208</v>
      </c>
      <c r="P30" s="20">
        <f>q6l1*2*COS(O40)</f>
        <v>-0.1736481776669303</v>
      </c>
      <c r="Q30" s="20">
        <f t="shared" si="0"/>
        <v>0.7500000000000003</v>
      </c>
    </row>
    <row r="31" spans="1:17" ht="14.25">
      <c r="A31" s="18">
        <v>8</v>
      </c>
      <c r="B31" s="21">
        <f>INDEX(sommets6,A31,1)*LONG6</f>
        <v>-30.076746636087076</v>
      </c>
      <c r="C31" s="21">
        <f>INDEX(sommets6,A31,2)*LONG6</f>
        <v>-170.5737063904886</v>
      </c>
      <c r="D31" s="21">
        <f>INDEX(sommets6,A31,3)*LONG6</f>
        <v>100.00000000000004</v>
      </c>
      <c r="N31" s="20">
        <v>16</v>
      </c>
      <c r="O31" s="20">
        <f>q6l1*2*SIN(O42)</f>
        <v>0.3420201433256689</v>
      </c>
      <c r="P31" s="20">
        <f>q6l1*2*COS(O42)</f>
        <v>-0.9396926207859083</v>
      </c>
      <c r="Q31" s="20">
        <f t="shared" si="0"/>
        <v>0.7500000000000003</v>
      </c>
    </row>
    <row r="32" spans="1:17" ht="14.25">
      <c r="A32" s="18">
        <v>9</v>
      </c>
      <c r="B32" s="21">
        <f>INDEX(sommets6,A32,1)*LONG6</f>
        <v>-64.27876096865393</v>
      </c>
      <c r="C32" s="21">
        <f>INDEX(sommets6,A32,2)*LONG6</f>
        <v>-76.60444431189781</v>
      </c>
      <c r="D32" s="21">
        <f>INDEX(sommets6,A32,3)*LONG6</f>
        <v>50.00000000000002</v>
      </c>
      <c r="N32" s="20">
        <v>17</v>
      </c>
      <c r="O32" s="20">
        <f>q6l1*2*SIN(O44)</f>
        <v>-0.6427876096865393</v>
      </c>
      <c r="P32" s="20">
        <f>q6l1*2*COS(O44)</f>
        <v>-0.766044443118978</v>
      </c>
      <c r="Q32" s="20">
        <f t="shared" si="0"/>
        <v>0.7500000000000003</v>
      </c>
    </row>
    <row r="33" spans="1:17" ht="14.25">
      <c r="A33" s="17" t="s">
        <v>37</v>
      </c>
      <c r="B33" s="17"/>
      <c r="C33" s="17"/>
      <c r="D33" s="17"/>
      <c r="N33" s="20">
        <v>18</v>
      </c>
      <c r="O33" s="20">
        <f>q6l1*2*SIN(O46)</f>
        <v>-0.9848077530122081</v>
      </c>
      <c r="P33" s="20">
        <f>q6l1*2*COS(O46)</f>
        <v>0.17364817766692997</v>
      </c>
      <c r="Q33" s="20">
        <f t="shared" si="0"/>
        <v>0.7500000000000003</v>
      </c>
    </row>
    <row r="34" spans="1:17" ht="14.25">
      <c r="A34" s="18" t="s">
        <v>13</v>
      </c>
      <c r="B34" s="18" t="s">
        <v>14</v>
      </c>
      <c r="C34" s="18" t="s">
        <v>15</v>
      </c>
      <c r="D34" s="18" t="s">
        <v>16</v>
      </c>
      <c r="N34" s="20">
        <v>19</v>
      </c>
      <c r="O34" s="20">
        <f>q6l1*2*SIN(O48)</f>
        <v>-0.3420201433256686</v>
      </c>
      <c r="P34" s="20">
        <f>q6l1*2*COS(O48)</f>
        <v>0.9396926207859084</v>
      </c>
      <c r="Q34" s="20">
        <f t="shared" si="0"/>
        <v>0.7500000000000003</v>
      </c>
    </row>
    <row r="35" spans="1:4" ht="14.25">
      <c r="A35" s="18">
        <v>1</v>
      </c>
      <c r="B35" s="21">
        <f>INDEX(sommets6,A35,1)*LONG6</f>
        <v>0</v>
      </c>
      <c r="C35" s="21">
        <f>INDEX(sommets6,A35,2)*LONG6</f>
        <v>0</v>
      </c>
      <c r="D35" s="21">
        <f>INDEX(sommets6,A35,3)*LONG6</f>
        <v>0</v>
      </c>
    </row>
    <row r="36" spans="1:17" ht="14.25">
      <c r="A36" s="18">
        <v>9</v>
      </c>
      <c r="B36" s="21">
        <f>INDEX(sommets6,A36,1)*LONG6</f>
        <v>-64.27876096865393</v>
      </c>
      <c r="C36" s="21">
        <f>INDEX(sommets6,A36,2)*LONG6</f>
        <v>-76.60444431189781</v>
      </c>
      <c r="D36" s="21">
        <f>INDEX(sommets6,A36,3)*LONG6</f>
        <v>50.00000000000002</v>
      </c>
      <c r="P36" t="s">
        <v>25</v>
      </c>
      <c r="Q36" t="s">
        <v>26</v>
      </c>
    </row>
    <row r="37" spans="1:17" ht="14.25">
      <c r="A37" s="18">
        <v>10</v>
      </c>
      <c r="B37" s="21">
        <f>INDEX(sommets6,A37,1)*LONG6</f>
        <v>-162.75953626987473</v>
      </c>
      <c r="C37" s="21">
        <f>INDEX(sommets6,A37,2)*LONG6</f>
        <v>-59.23962654520473</v>
      </c>
      <c r="D37" s="21">
        <f>INDEX(sommets6,A37,3)*LONG6</f>
        <v>100.00000000000004</v>
      </c>
      <c r="N37" s="33">
        <v>10</v>
      </c>
      <c r="O37">
        <f aca="true" t="shared" si="1" ref="O37:O49">RADIANS(N37)</f>
        <v>0.17453292519943295</v>
      </c>
      <c r="P37">
        <f aca="true" t="shared" si="2" ref="P37:P49">COS(O37)</f>
        <v>0.984807753012208</v>
      </c>
      <c r="Q37">
        <f aca="true" t="shared" si="3" ref="Q37:Q47">SIN(O37)</f>
        <v>0.17364817766693033</v>
      </c>
    </row>
    <row r="38" spans="1:17" ht="14.25">
      <c r="A38" s="18">
        <v>11</v>
      </c>
      <c r="B38" s="21">
        <f>INDEX(sommets6,A38,1)*LONG6</f>
        <v>-98.48077530122082</v>
      </c>
      <c r="C38" s="21">
        <f>INDEX(sommets6,A38,2)*LONG6</f>
        <v>17.364817766692997</v>
      </c>
      <c r="D38" s="21">
        <f>INDEX(sommets6,A38,3)*LONG6</f>
        <v>50.00000000000002</v>
      </c>
      <c r="N38">
        <f>30+N37</f>
        <v>40</v>
      </c>
      <c r="O38">
        <f t="shared" si="1"/>
        <v>0.6981317007977318</v>
      </c>
      <c r="P38">
        <f t="shared" si="2"/>
        <v>0.766044443118978</v>
      </c>
      <c r="Q38">
        <f t="shared" si="3"/>
        <v>0.6427876096865393</v>
      </c>
    </row>
    <row r="39" spans="1:17" ht="14.25">
      <c r="A39" s="17" t="s">
        <v>38</v>
      </c>
      <c r="B39" s="17"/>
      <c r="C39" s="17"/>
      <c r="D39" s="17"/>
      <c r="N39">
        <f aca="true" t="shared" si="4" ref="N39:N49">30+N38</f>
        <v>70</v>
      </c>
      <c r="O39">
        <f t="shared" si="1"/>
        <v>1.2217304763960306</v>
      </c>
      <c r="P39">
        <f t="shared" si="2"/>
        <v>0.3420201433256688</v>
      </c>
      <c r="Q39">
        <f t="shared" si="3"/>
        <v>0.9396926207859083</v>
      </c>
    </row>
    <row r="40" spans="1:17" ht="14.25">
      <c r="A40" s="18" t="s">
        <v>13</v>
      </c>
      <c r="B40" s="18" t="s">
        <v>14</v>
      </c>
      <c r="C40" s="18" t="s">
        <v>15</v>
      </c>
      <c r="D40" s="18" t="s">
        <v>16</v>
      </c>
      <c r="N40">
        <f t="shared" si="4"/>
        <v>100</v>
      </c>
      <c r="O40">
        <f t="shared" si="1"/>
        <v>1.7453292519943295</v>
      </c>
      <c r="P40">
        <f t="shared" si="2"/>
        <v>-0.1736481776669303</v>
      </c>
      <c r="Q40">
        <f t="shared" si="3"/>
        <v>0.984807753012208</v>
      </c>
    </row>
    <row r="41" spans="1:17" ht="14.25">
      <c r="A41" s="18">
        <v>1</v>
      </c>
      <c r="B41" s="21">
        <f>INDEX(sommets6,A41,1)*LONG6</f>
        <v>0</v>
      </c>
      <c r="C41" s="21">
        <f>INDEX(sommets6,A41,2)*LONG6</f>
        <v>0</v>
      </c>
      <c r="D41" s="21">
        <f>INDEX(sommets6,A41,3)*LONG6</f>
        <v>0</v>
      </c>
      <c r="N41">
        <f t="shared" si="4"/>
        <v>130</v>
      </c>
      <c r="O41">
        <f t="shared" si="1"/>
        <v>2.2689280275926285</v>
      </c>
      <c r="P41">
        <f t="shared" si="2"/>
        <v>-0.6427876096865394</v>
      </c>
      <c r="Q41">
        <f t="shared" si="3"/>
        <v>0.766044443118978</v>
      </c>
    </row>
    <row r="42" spans="1:17" ht="14.25">
      <c r="A42" s="18">
        <v>11</v>
      </c>
      <c r="B42" s="21">
        <f>INDEX(sommets6,A42,1)*LONG6</f>
        <v>-98.48077530122082</v>
      </c>
      <c r="C42" s="21">
        <f>INDEX(sommets6,A42,2)*LONG6</f>
        <v>17.364817766692997</v>
      </c>
      <c r="D42" s="21">
        <f>INDEX(sommets6,A42,3)*LONG6</f>
        <v>50.00000000000002</v>
      </c>
      <c r="N42">
        <f t="shared" si="4"/>
        <v>160</v>
      </c>
      <c r="O42">
        <f t="shared" si="1"/>
        <v>2.792526803190927</v>
      </c>
      <c r="P42">
        <f t="shared" si="2"/>
        <v>-0.9396926207859083</v>
      </c>
      <c r="Q42">
        <f t="shared" si="3"/>
        <v>0.3420201433256689</v>
      </c>
    </row>
    <row r="43" spans="1:17" ht="14.25">
      <c r="A43" s="18">
        <v>12</v>
      </c>
      <c r="B43" s="21">
        <f>INDEX(sommets6,A43,1)*LONG6</f>
        <v>-132.68278963378768</v>
      </c>
      <c r="C43" s="21">
        <f>INDEX(sommets6,A43,2)*LONG6</f>
        <v>111.33407984528382</v>
      </c>
      <c r="D43" s="21">
        <f>INDEX(sommets6,A43,3)*LONG6</f>
        <v>100.00000000000004</v>
      </c>
      <c r="N43">
        <f t="shared" si="4"/>
        <v>190</v>
      </c>
      <c r="O43">
        <f t="shared" si="1"/>
        <v>3.3161255787892263</v>
      </c>
      <c r="P43">
        <f t="shared" si="2"/>
        <v>-0.984807753012208</v>
      </c>
      <c r="Q43">
        <f t="shared" si="3"/>
        <v>-0.17364817766693047</v>
      </c>
    </row>
    <row r="44" spans="1:17" ht="14.25">
      <c r="A44" s="18">
        <v>13</v>
      </c>
      <c r="B44" s="21">
        <f>INDEX(sommets6,A44,1)*LONG6</f>
        <v>-34.20201433256686</v>
      </c>
      <c r="C44" s="21">
        <f>INDEX(sommets6,A44,2)*LONG6</f>
        <v>93.96926207859084</v>
      </c>
      <c r="D44" s="21">
        <f>INDEX(sommets6,A44,3)*LONG6</f>
        <v>50.00000000000002</v>
      </c>
      <c r="N44">
        <f t="shared" si="4"/>
        <v>220</v>
      </c>
      <c r="O44">
        <f t="shared" si="1"/>
        <v>3.839724354387525</v>
      </c>
      <c r="P44">
        <f t="shared" si="2"/>
        <v>-0.766044443118978</v>
      </c>
      <c r="Q44">
        <f t="shared" si="3"/>
        <v>-0.6427876096865393</v>
      </c>
    </row>
    <row r="45" spans="1:17" ht="14.25">
      <c r="A45" s="17" t="s">
        <v>39</v>
      </c>
      <c r="B45" s="17"/>
      <c r="C45" s="17"/>
      <c r="D45" s="17"/>
      <c r="N45">
        <f t="shared" si="4"/>
        <v>250</v>
      </c>
      <c r="O45">
        <f t="shared" si="1"/>
        <v>4.363323129985824</v>
      </c>
      <c r="P45">
        <f t="shared" si="2"/>
        <v>-0.34202014332566855</v>
      </c>
      <c r="Q45">
        <f t="shared" si="3"/>
        <v>-0.9396926207859084</v>
      </c>
    </row>
    <row r="46" spans="1:17" ht="14.25">
      <c r="A46" s="18" t="s">
        <v>13</v>
      </c>
      <c r="B46" s="18" t="s">
        <v>14</v>
      </c>
      <c r="C46" s="18" t="s">
        <v>15</v>
      </c>
      <c r="D46" s="18" t="s">
        <v>16</v>
      </c>
      <c r="N46">
        <f t="shared" si="4"/>
        <v>280</v>
      </c>
      <c r="O46">
        <f t="shared" si="1"/>
        <v>4.886921905584122</v>
      </c>
      <c r="P46">
        <f t="shared" si="2"/>
        <v>0.17364817766692997</v>
      </c>
      <c r="Q46">
        <f t="shared" si="3"/>
        <v>-0.9848077530122081</v>
      </c>
    </row>
    <row r="47" spans="1:17" ht="14.25">
      <c r="A47" s="18">
        <v>3</v>
      </c>
      <c r="B47" s="21">
        <f>INDEX(sommets6,A47,1)*LONG6</f>
        <v>64.27876096865393</v>
      </c>
      <c r="C47" s="21">
        <f>INDEX(sommets6,A47,2)*LONG6</f>
        <v>76.60444431189781</v>
      </c>
      <c r="D47" s="21">
        <f>INDEX(sommets6,A47,3)*LONG6</f>
        <v>50.00000000000002</v>
      </c>
      <c r="N47">
        <f t="shared" si="4"/>
        <v>310</v>
      </c>
      <c r="O47">
        <f t="shared" si="1"/>
        <v>5.410520681182422</v>
      </c>
      <c r="P47">
        <f t="shared" si="2"/>
        <v>0.6427876096865393</v>
      </c>
      <c r="Q47">
        <f t="shared" si="3"/>
        <v>-0.7660444431189781</v>
      </c>
    </row>
    <row r="48" spans="1:17" ht="14.25">
      <c r="A48" s="18">
        <v>2</v>
      </c>
      <c r="B48" s="21">
        <f>INDEX(sommets6,A48,1)*LONG6</f>
        <v>30.076746636087048</v>
      </c>
      <c r="C48" s="21">
        <f>INDEX(sommets6,A48,2)*LONG6</f>
        <v>170.5737063904886</v>
      </c>
      <c r="D48" s="21">
        <f>INDEX(sommets6,A48,3)*LONG6</f>
        <v>100.00000000000004</v>
      </c>
      <c r="N48">
        <f t="shared" si="4"/>
        <v>340</v>
      </c>
      <c r="O48">
        <f t="shared" si="1"/>
        <v>5.934119456780721</v>
      </c>
      <c r="P48">
        <f t="shared" si="2"/>
        <v>0.9396926207859084</v>
      </c>
      <c r="Q48">
        <f>SIN(O48)</f>
        <v>-0.3420201433256686</v>
      </c>
    </row>
    <row r="49" spans="1:17" ht="14.25">
      <c r="A49" s="18">
        <v>14</v>
      </c>
      <c r="B49" s="21">
        <f>INDEX(sommets6,A49,1)*LONG6</f>
        <v>128.55752193730785</v>
      </c>
      <c r="C49" s="21">
        <f>INDEX(sommets6,A49,2)*LONG6</f>
        <v>153.20888862379562</v>
      </c>
      <c r="D49" s="21">
        <f>INDEX(sommets6,A49,3)*LONG6</f>
        <v>150.00000000000006</v>
      </c>
      <c r="N49">
        <f t="shared" si="4"/>
        <v>370</v>
      </c>
      <c r="O49">
        <f t="shared" si="1"/>
        <v>6.457718232379019</v>
      </c>
      <c r="P49">
        <f t="shared" si="2"/>
        <v>0.9848077530122081</v>
      </c>
      <c r="Q49">
        <f>SIN(O49)</f>
        <v>0.17364817766692991</v>
      </c>
    </row>
    <row r="50" spans="1:4" ht="14.25">
      <c r="A50" s="18">
        <v>4</v>
      </c>
      <c r="B50" s="21">
        <f>INDEX(sommets6,A50,1)*LONG6</f>
        <v>162.7595362698747</v>
      </c>
      <c r="C50" s="21">
        <f>INDEX(sommets6,A50,2)*LONG6</f>
        <v>59.23962654520477</v>
      </c>
      <c r="D50" s="21">
        <f>INDEX(sommets6,A50,3)*LONG6</f>
        <v>100.00000000000004</v>
      </c>
    </row>
    <row r="51" spans="1:4" ht="14.25">
      <c r="A51" s="17" t="s">
        <v>40</v>
      </c>
      <c r="B51" s="17"/>
      <c r="C51" s="17"/>
      <c r="D51" s="17"/>
    </row>
    <row r="52" spans="1:4" ht="14.25">
      <c r="A52" s="18" t="s">
        <v>13</v>
      </c>
      <c r="B52" s="18" t="s">
        <v>14</v>
      </c>
      <c r="C52" s="18" t="s">
        <v>15</v>
      </c>
      <c r="D52" s="18" t="s">
        <v>16</v>
      </c>
    </row>
    <row r="53" spans="1:4" ht="14.25">
      <c r="A53" s="18">
        <v>5</v>
      </c>
      <c r="B53" s="21">
        <f>INDEX(sommets6,A53,1)*LONG6</f>
        <v>98.4807753012208</v>
      </c>
      <c r="C53" s="21">
        <f>INDEX(sommets6,A53,2)*LONG6</f>
        <v>-17.36481776669303</v>
      </c>
      <c r="D53" s="21">
        <f>INDEX(sommets6,A53,3)*LONG6</f>
        <v>50.00000000000002</v>
      </c>
    </row>
    <row r="54" spans="1:4" ht="14.25">
      <c r="A54" s="18">
        <v>4</v>
      </c>
      <c r="B54" s="21">
        <f>INDEX(sommets6,A54,1)*LONG6</f>
        <v>162.7595362698747</v>
      </c>
      <c r="C54" s="21">
        <f>INDEX(sommets6,A54,2)*LONG6</f>
        <v>59.23962654520477</v>
      </c>
      <c r="D54" s="21">
        <f>INDEX(sommets6,A54,3)*LONG6</f>
        <v>100.00000000000004</v>
      </c>
    </row>
    <row r="55" spans="1:4" ht="14.25">
      <c r="A55" s="18">
        <v>15</v>
      </c>
      <c r="B55" s="21">
        <f>INDEX(sommets6,A55,1)*LONG6</f>
        <v>196.9615506024416</v>
      </c>
      <c r="C55" s="21">
        <f>INDEX(sommets6,A55,2)*LONG6</f>
        <v>-34.72963553338606</v>
      </c>
      <c r="D55" s="21">
        <f>INDEX(sommets6,A55,3)*LONG6</f>
        <v>150.00000000000006</v>
      </c>
    </row>
    <row r="56" spans="1:4" ht="14.25">
      <c r="A56" s="18">
        <v>6</v>
      </c>
      <c r="B56" s="21">
        <f>INDEX(sommets6,A56,1)*LONG6</f>
        <v>132.68278963378765</v>
      </c>
      <c r="C56" s="21">
        <f>INDEX(sommets6,A56,2)*LONG6</f>
        <v>-111.33407984528385</v>
      </c>
      <c r="D56" s="21">
        <f>INDEX(sommets6,A56,3)*LONG6</f>
        <v>100.00000000000004</v>
      </c>
    </row>
    <row r="57" spans="1:4" ht="14.25">
      <c r="A57" s="17" t="s">
        <v>41</v>
      </c>
      <c r="B57" s="17"/>
      <c r="C57" s="17"/>
      <c r="D57" s="17"/>
    </row>
    <row r="58" spans="1:4" ht="14.25">
      <c r="A58" s="18" t="s">
        <v>13</v>
      </c>
      <c r="B58" s="18" t="s">
        <v>14</v>
      </c>
      <c r="C58" s="18" t="s">
        <v>15</v>
      </c>
      <c r="D58" s="18" t="s">
        <v>16</v>
      </c>
    </row>
    <row r="59" spans="1:4" ht="14.25">
      <c r="A59" s="18">
        <v>7</v>
      </c>
      <c r="B59" s="21">
        <f>INDEX(sommets6,A59,1)*LONG6</f>
        <v>34.20201433256689</v>
      </c>
      <c r="C59" s="21">
        <f>INDEX(sommets6,A59,2)*LONG6</f>
        <v>-93.96926207859083</v>
      </c>
      <c r="D59" s="21">
        <f>INDEX(sommets6,A59,3)*LONG6</f>
        <v>50.00000000000002</v>
      </c>
    </row>
    <row r="60" spans="1:4" ht="14.25">
      <c r="A60" s="18">
        <v>6</v>
      </c>
      <c r="B60" s="21">
        <f>INDEX(sommets6,A60,1)*LONG6</f>
        <v>132.68278963378765</v>
      </c>
      <c r="C60" s="21">
        <f>INDEX(sommets6,A60,2)*LONG6</f>
        <v>-111.33407984528385</v>
      </c>
      <c r="D60" s="21">
        <f>INDEX(sommets6,A60,3)*LONG6</f>
        <v>100.00000000000004</v>
      </c>
    </row>
    <row r="61" spans="1:4" ht="14.25">
      <c r="A61" s="18">
        <v>16</v>
      </c>
      <c r="B61" s="21">
        <f>INDEX(sommets6,A61,1)*LONG6</f>
        <v>68.40402866513378</v>
      </c>
      <c r="C61" s="21">
        <f>INDEX(sommets6,A61,2)*LONG6</f>
        <v>-187.93852415718166</v>
      </c>
      <c r="D61" s="21">
        <f>INDEX(sommets6,A61,3)*LONG6</f>
        <v>150.00000000000006</v>
      </c>
    </row>
    <row r="62" spans="1:4" ht="14.25">
      <c r="A62" s="18">
        <v>8</v>
      </c>
      <c r="B62" s="21">
        <f>INDEX(sommets6,A62,1)*LONG6</f>
        <v>-30.076746636087076</v>
      </c>
      <c r="C62" s="21">
        <f>INDEX(sommets6,A62,2)*LONG6</f>
        <v>-170.5737063904886</v>
      </c>
      <c r="D62" s="21">
        <f>INDEX(sommets6,A62,3)*LONG6</f>
        <v>100.00000000000004</v>
      </c>
    </row>
    <row r="63" spans="1:4" ht="14.25">
      <c r="A63" s="17" t="s">
        <v>42</v>
      </c>
      <c r="B63" s="17"/>
      <c r="C63" s="17"/>
      <c r="D63" s="17"/>
    </row>
    <row r="64" spans="1:4" ht="14.25">
      <c r="A64" s="18" t="s">
        <v>13</v>
      </c>
      <c r="B64" s="18" t="s">
        <v>14</v>
      </c>
      <c r="C64" s="18" t="s">
        <v>15</v>
      </c>
      <c r="D64" s="18" t="s">
        <v>16</v>
      </c>
    </row>
    <row r="65" spans="1:4" ht="14.25">
      <c r="A65" s="18">
        <v>9</v>
      </c>
      <c r="B65" s="21">
        <f>INDEX(sommets6,A65,1)*LONG6</f>
        <v>-64.27876096865393</v>
      </c>
      <c r="C65" s="21">
        <f>INDEX(sommets6,A65,2)*LONG6</f>
        <v>-76.60444431189781</v>
      </c>
      <c r="D65" s="21">
        <f>INDEX(sommets6,A65,3)*LONG6</f>
        <v>50.00000000000002</v>
      </c>
    </row>
    <row r="66" spans="1:4" ht="14.25">
      <c r="A66" s="18">
        <v>8</v>
      </c>
      <c r="B66" s="21">
        <f>INDEX(sommets6,A66,1)*LONG6</f>
        <v>-30.076746636087076</v>
      </c>
      <c r="C66" s="21">
        <f>INDEX(sommets6,A66,2)*LONG6</f>
        <v>-170.5737063904886</v>
      </c>
      <c r="D66" s="21">
        <f>INDEX(sommets6,A66,3)*LONG6</f>
        <v>100.00000000000004</v>
      </c>
    </row>
    <row r="67" spans="1:4" ht="14.25">
      <c r="A67" s="18">
        <v>17</v>
      </c>
      <c r="B67" s="21">
        <f>INDEX(sommets6,A67,1)*LONG6</f>
        <v>-128.55752193730785</v>
      </c>
      <c r="C67" s="21">
        <f>INDEX(sommets6,A67,2)*LONG6</f>
        <v>-153.20888862379562</v>
      </c>
      <c r="D67" s="21">
        <f>INDEX(sommets6,A67,3)*LONG6</f>
        <v>150.00000000000006</v>
      </c>
    </row>
    <row r="68" spans="1:4" ht="14.25">
      <c r="A68" s="18">
        <v>10</v>
      </c>
      <c r="B68" s="21">
        <f>INDEX(sommets6,A68,1)*LONG6</f>
        <v>-162.75953626987473</v>
      </c>
      <c r="C68" s="21">
        <f>INDEX(sommets6,A68,2)*LONG6</f>
        <v>-59.23962654520473</v>
      </c>
      <c r="D68" s="21">
        <f>INDEX(sommets6,A68,3)*LONG6</f>
        <v>100.00000000000004</v>
      </c>
    </row>
    <row r="69" spans="1:4" ht="14.25">
      <c r="A69" s="17" t="s">
        <v>43</v>
      </c>
      <c r="B69" s="17"/>
      <c r="C69" s="17"/>
      <c r="D69" s="17"/>
    </row>
    <row r="70" spans="1:4" ht="14.25">
      <c r="A70" s="18" t="s">
        <v>13</v>
      </c>
      <c r="B70" s="18" t="s">
        <v>14</v>
      </c>
      <c r="C70" s="18" t="s">
        <v>15</v>
      </c>
      <c r="D70" s="18" t="s">
        <v>16</v>
      </c>
    </row>
    <row r="71" spans="1:4" ht="14.25">
      <c r="A71" s="18">
        <v>11</v>
      </c>
      <c r="B71" s="21">
        <f>INDEX(sommets6,A71,1)*LONG6</f>
        <v>-98.48077530122082</v>
      </c>
      <c r="C71" s="21">
        <f>INDEX(sommets6,A71,2)*LONG6</f>
        <v>17.364817766692997</v>
      </c>
      <c r="D71" s="21">
        <f>INDEX(sommets6,A71,3)*LONG6</f>
        <v>50.00000000000002</v>
      </c>
    </row>
    <row r="72" spans="1:4" ht="14.25">
      <c r="A72" s="18">
        <v>10</v>
      </c>
      <c r="B72" s="21">
        <f>INDEX(sommets6,A72,1)*LONG6</f>
        <v>-162.75953626987473</v>
      </c>
      <c r="C72" s="21">
        <f>INDEX(sommets6,A72,2)*LONG6</f>
        <v>-59.23962654520473</v>
      </c>
      <c r="D72" s="21">
        <f>INDEX(sommets6,A72,3)*LONG6</f>
        <v>100.00000000000004</v>
      </c>
    </row>
    <row r="73" spans="1:4" ht="14.25">
      <c r="A73" s="18">
        <v>18</v>
      </c>
      <c r="B73" s="21">
        <f>INDEX(sommets6,A73,1)*LONG6</f>
        <v>-196.96155060244163</v>
      </c>
      <c r="C73" s="21">
        <f>INDEX(sommets6,A73,2)*LONG6</f>
        <v>34.729635533385995</v>
      </c>
      <c r="D73" s="21">
        <f>INDEX(sommets6,A73,3)*LONG6</f>
        <v>150.00000000000006</v>
      </c>
    </row>
    <row r="74" spans="1:4" ht="14.25">
      <c r="A74" s="18">
        <v>12</v>
      </c>
      <c r="B74" s="21">
        <f>INDEX(sommets6,A74,1)*LONG6</f>
        <v>-132.68278963378768</v>
      </c>
      <c r="C74" s="21">
        <f>INDEX(sommets6,A74,2)*LONG6</f>
        <v>111.33407984528382</v>
      </c>
      <c r="D74" s="21">
        <f>INDEX(sommets6,A74,3)*LONG6</f>
        <v>100.00000000000004</v>
      </c>
    </row>
    <row r="75" spans="1:4" ht="14.25">
      <c r="A75" s="17" t="s">
        <v>44</v>
      </c>
      <c r="B75" s="17"/>
      <c r="C75" s="17"/>
      <c r="D75" s="17"/>
    </row>
    <row r="76" spans="1:4" ht="14.25">
      <c r="A76" s="18" t="s">
        <v>13</v>
      </c>
      <c r="B76" s="18" t="s">
        <v>14</v>
      </c>
      <c r="C76" s="18" t="s">
        <v>15</v>
      </c>
      <c r="D76" s="18" t="s">
        <v>16</v>
      </c>
    </row>
    <row r="77" spans="1:4" ht="14.25">
      <c r="A77" s="18">
        <v>13</v>
      </c>
      <c r="B77" s="21">
        <f>INDEX(sommets6,A77,1)*LONG6</f>
        <v>-34.20201433256686</v>
      </c>
      <c r="C77" s="21">
        <f>INDEX(sommets6,A77,2)*LONG6</f>
        <v>93.96926207859084</v>
      </c>
      <c r="D77" s="21">
        <f>INDEX(sommets6,A77,3)*LONG6</f>
        <v>50.00000000000002</v>
      </c>
    </row>
    <row r="78" spans="1:4" ht="14.25">
      <c r="A78" s="18">
        <v>12</v>
      </c>
      <c r="B78" s="21">
        <f>INDEX(sommets6,A78,1)*LONG6</f>
        <v>-132.68278963378768</v>
      </c>
      <c r="C78" s="21">
        <f>INDEX(sommets6,A78,2)*LONG6</f>
        <v>111.33407984528382</v>
      </c>
      <c r="D78" s="21">
        <f>INDEX(sommets6,A78,3)*LONG6</f>
        <v>100.00000000000004</v>
      </c>
    </row>
    <row r="79" spans="1:4" ht="14.25">
      <c r="A79" s="18">
        <v>19</v>
      </c>
      <c r="B79" s="21">
        <f>INDEX(sommets6,A79,1)*LONG6</f>
        <v>-68.40402866513372</v>
      </c>
      <c r="C79" s="21">
        <f>INDEX(sommets6,A79,2)*LONG6</f>
        <v>187.9385241571817</v>
      </c>
      <c r="D79" s="21">
        <f>INDEX(sommets6,A79,3)*LONG6</f>
        <v>150.00000000000006</v>
      </c>
    </row>
    <row r="80" spans="1:4" ht="14.25">
      <c r="A80" s="18">
        <v>2</v>
      </c>
      <c r="B80" s="21">
        <f>INDEX(sommets6,A80,1)*LONG6</f>
        <v>30.076746636087048</v>
      </c>
      <c r="C80" s="21">
        <f>INDEX(sommets6,A80,2)*LONG6</f>
        <v>170.5737063904886</v>
      </c>
      <c r="D80" s="21">
        <f>INDEX(sommets6,A80,3)*LONG6</f>
        <v>100.00000000000004</v>
      </c>
    </row>
  </sheetData>
  <mergeCells count="3">
    <mergeCell ref="F1:L1"/>
    <mergeCell ref="A4:C4"/>
    <mergeCell ref="A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_ordre8"/>
  <dimension ref="A1:V152"/>
  <sheetViews>
    <sheetView tabSelected="1" zoomScale="75" zoomScaleNormal="75" workbookViewId="0" topLeftCell="A1">
      <selection activeCell="F6" sqref="F6"/>
    </sheetView>
  </sheetViews>
  <sheetFormatPr defaultColWidth="9.00390625" defaultRowHeight="14.25"/>
  <cols>
    <col min="1" max="1" width="12.75390625" style="0" customWidth="1"/>
    <col min="2" max="4" width="10.625" style="0" customWidth="1"/>
    <col min="13" max="13" width="30.00390625" style="0" customWidth="1"/>
    <col min="15" max="15" width="12.25390625" style="0" bestFit="1" customWidth="1"/>
    <col min="16" max="16" width="12.875" style="0" bestFit="1" customWidth="1"/>
    <col min="18" max="18" width="2.00390625" style="0" customWidth="1"/>
  </cols>
  <sheetData>
    <row r="1" spans="1:12" s="1" customFormat="1" ht="42" customHeight="1">
      <c r="A1" s="11" t="s">
        <v>8</v>
      </c>
      <c r="B1" s="11"/>
      <c r="C1" s="12">
        <v>8</v>
      </c>
      <c r="D1" s="11"/>
      <c r="E1" s="11"/>
      <c r="F1" s="36"/>
      <c r="G1" s="36"/>
      <c r="H1" s="36"/>
      <c r="I1" s="36"/>
      <c r="J1" s="36"/>
      <c r="K1" s="36"/>
      <c r="L1" s="36"/>
    </row>
    <row r="2" spans="12:17" ht="14.25">
      <c r="L2" s="27" t="s">
        <v>49</v>
      </c>
      <c r="M2" t="s">
        <v>18</v>
      </c>
      <c r="N2">
        <f>RAP8</f>
        <v>0.37</v>
      </c>
      <c r="P2" t="s">
        <v>60</v>
      </c>
      <c r="Q2">
        <f>N3</f>
        <v>0.4834282970042593</v>
      </c>
    </row>
    <row r="3" spans="1:17" ht="14.25">
      <c r="A3" s="14"/>
      <c r="B3" s="14"/>
      <c r="C3" s="14"/>
      <c r="D3" s="14"/>
      <c r="E3" s="13"/>
      <c r="L3" s="27" t="s">
        <v>50</v>
      </c>
      <c r="M3" t="s">
        <v>19</v>
      </c>
      <c r="N3">
        <f>(N2/2)/SIN(RADIANS(22.5))</f>
        <v>0.4834282970042593</v>
      </c>
      <c r="P3" t="s">
        <v>61</v>
      </c>
      <c r="Q3">
        <f>N7</f>
        <v>0.8932590180780452</v>
      </c>
    </row>
    <row r="4" spans="1:17" ht="14.25">
      <c r="A4" s="37" t="s">
        <v>9</v>
      </c>
      <c r="B4" s="37"/>
      <c r="C4" s="37"/>
      <c r="D4" s="31">
        <v>0.37</v>
      </c>
      <c r="E4" s="16" t="s">
        <v>17</v>
      </c>
      <c r="F4" s="25">
        <f>TAN(RADIANS(22.5))</f>
        <v>0.41421356237309503</v>
      </c>
      <c r="L4" s="27" t="s">
        <v>50</v>
      </c>
      <c r="M4" t="s">
        <v>20</v>
      </c>
      <c r="N4">
        <f>SQRT(POWER(0.5,2)+POWER(N2/2,2))</f>
        <v>0.5331275644721439</v>
      </c>
      <c r="P4" t="s">
        <v>62</v>
      </c>
      <c r="Q4">
        <f>N3+N8</f>
        <v>1.1670991510626114</v>
      </c>
    </row>
    <row r="5" spans="1:17" ht="15">
      <c r="A5" s="6"/>
      <c r="B5" s="6"/>
      <c r="C5" s="6"/>
      <c r="D5" s="26"/>
      <c r="L5" s="27"/>
      <c r="M5" t="s">
        <v>21</v>
      </c>
      <c r="N5">
        <f>SQRT(POWER(N4,2)-POWER(N3,2))</f>
        <v>0.22477117621163445</v>
      </c>
      <c r="P5" t="s">
        <v>63</v>
      </c>
      <c r="Q5">
        <f>N7+N12</f>
        <v>1.263259018078045</v>
      </c>
    </row>
    <row r="6" spans="1:17" ht="14.25">
      <c r="A6" s="37" t="s">
        <v>10</v>
      </c>
      <c r="B6" s="37"/>
      <c r="C6" s="37"/>
      <c r="D6" s="24">
        <v>200</v>
      </c>
      <c r="L6" s="27" t="s">
        <v>33</v>
      </c>
      <c r="M6" t="s">
        <v>22</v>
      </c>
      <c r="N6">
        <f>DEGREES(ASIN(N5/0.5))</f>
        <v>26.71432554868434</v>
      </c>
      <c r="P6" t="s">
        <v>64</v>
      </c>
      <c r="Q6">
        <f>N5</f>
        <v>0.22477117621163445</v>
      </c>
    </row>
    <row r="7" spans="1:14" ht="14.25">
      <c r="A7" s="6"/>
      <c r="B7" s="6"/>
      <c r="C7" s="6"/>
      <c r="D7" s="6"/>
      <c r="L7" s="27" t="s">
        <v>34</v>
      </c>
      <c r="M7" t="s">
        <v>27</v>
      </c>
      <c r="N7">
        <f>COS(RADIANS(N6))</f>
        <v>0.8932590180780452</v>
      </c>
    </row>
    <row r="8" spans="1:14" ht="14.25">
      <c r="A8" s="15" t="s">
        <v>11</v>
      </c>
      <c r="B8" s="15"/>
      <c r="C8" s="15"/>
      <c r="D8" s="15"/>
      <c r="E8" s="22"/>
      <c r="L8" s="27" t="s">
        <v>53</v>
      </c>
      <c r="M8" t="s">
        <v>28</v>
      </c>
      <c r="N8">
        <f>PRODUCT(2,PRODUCT(N7,COS(RADIANS(22.5)))-N3)</f>
        <v>0.6836708540583522</v>
      </c>
    </row>
    <row r="9" spans="1:14" ht="14.25">
      <c r="A9" s="17" t="s">
        <v>12</v>
      </c>
      <c r="B9" s="17"/>
      <c r="C9" s="17"/>
      <c r="D9" s="17"/>
      <c r="E9" s="13"/>
      <c r="L9" s="27" t="s">
        <v>52</v>
      </c>
      <c r="M9" t="s">
        <v>29</v>
      </c>
      <c r="N9">
        <f>2*N7*SIN(RADIANS(22.5))</f>
        <v>0.6836708540583523</v>
      </c>
    </row>
    <row r="10" spans="1:18" ht="14.25">
      <c r="A10" s="18" t="s">
        <v>13</v>
      </c>
      <c r="B10" s="18" t="s">
        <v>14</v>
      </c>
      <c r="C10" s="18" t="s">
        <v>15</v>
      </c>
      <c r="D10" s="18" t="s">
        <v>16</v>
      </c>
      <c r="E10" s="23"/>
      <c r="L10" s="27" t="s">
        <v>53</v>
      </c>
      <c r="M10" t="s">
        <v>30</v>
      </c>
      <c r="N10">
        <f>SQRT(SUM(POWER(N8,2),POWER(2*N5,2)))</f>
        <v>0.8182262299090167</v>
      </c>
      <c r="R10" s="6"/>
    </row>
    <row r="11" spans="1:18" ht="14.25">
      <c r="A11" s="18">
        <v>1</v>
      </c>
      <c r="B11" s="21">
        <f>INDEX(sommets8,A11,1)*LONG8</f>
        <v>0</v>
      </c>
      <c r="C11" s="21">
        <f>INDEX(sommets8,A11,2)*LONG8</f>
        <v>0</v>
      </c>
      <c r="D11" s="21">
        <f>INDEX(sommets8,A11,3)*LONG8</f>
        <v>0</v>
      </c>
      <c r="E11" s="23"/>
      <c r="L11" s="27" t="s">
        <v>53</v>
      </c>
      <c r="M11" t="s">
        <v>31</v>
      </c>
      <c r="N11">
        <f>DEGREES(ASIN((2*N5)/N10))</f>
        <v>33.326602857504824</v>
      </c>
      <c r="R11" s="6"/>
    </row>
    <row r="12" spans="1:18" ht="14.25">
      <c r="A12" s="18">
        <v>17</v>
      </c>
      <c r="B12" s="21">
        <f>INDEX(sommets8,A12,1)*LONG8</f>
        <v>-29.07393851073099</v>
      </c>
      <c r="C12" s="21">
        <f>INDEX(sommets8,A12,2)*LONG8</f>
        <v>92.21075226486208</v>
      </c>
      <c r="D12" s="21">
        <f>INDEX(sommets8,A12,3)*LONG8</f>
        <v>44.95423524232689</v>
      </c>
      <c r="E12" s="23"/>
      <c r="L12" s="27" t="s">
        <v>57</v>
      </c>
      <c r="M12" t="s">
        <v>54</v>
      </c>
      <c r="N12">
        <f>PRODUCT(2,PRODUCT(N3+N8,COS(RADIANS(22.5)))-N7)</f>
        <v>0.3699999999999999</v>
      </c>
      <c r="R12" s="6"/>
    </row>
    <row r="13" spans="1:18" ht="14.25">
      <c r="A13" s="18">
        <v>2</v>
      </c>
      <c r="B13" s="21">
        <f>INDEX(sommets8,A13,1)*LONG8</f>
        <v>15.570530637327169</v>
      </c>
      <c r="C13" s="21">
        <f>INDEX(sommets8,A13,2)*LONG8</f>
        <v>177.97197956639747</v>
      </c>
      <c r="D13" s="21">
        <f>INDEX(sommets8,A13,3)*LONG8</f>
        <v>89.90847048465378</v>
      </c>
      <c r="E13" s="23"/>
      <c r="L13" s="27" t="s">
        <v>58</v>
      </c>
      <c r="M13" t="s">
        <v>55</v>
      </c>
      <c r="N13">
        <f>2*(N3+N8)*SIN(RADIANS(22.5))</f>
        <v>0.8932590180780451</v>
      </c>
      <c r="R13" s="6"/>
    </row>
    <row r="14" spans="1:18" ht="14.25">
      <c r="A14" s="18">
        <v>10</v>
      </c>
      <c r="B14" s="21">
        <f>INDEX(sommets8,A14,1)*LONG8</f>
        <v>44.64446914805817</v>
      </c>
      <c r="C14" s="21">
        <f>INDEX(sommets8,A14,2)*LONG8</f>
        <v>85.76122730153538</v>
      </c>
      <c r="D14" s="21">
        <f>INDEX(sommets8,A14,3)*LONG8</f>
        <v>44.95423524232689</v>
      </c>
      <c r="E14" s="23"/>
      <c r="L14" s="27" t="s">
        <v>57</v>
      </c>
      <c r="M14" t="s">
        <v>59</v>
      </c>
      <c r="N14">
        <f>SQRT(SUM(POWER(N12,2),POWER(2*N5,2)))</f>
        <v>0.5822270404423402</v>
      </c>
      <c r="R14" s="6"/>
    </row>
    <row r="15" spans="1:14" ht="14.25">
      <c r="A15" s="17" t="s">
        <v>23</v>
      </c>
      <c r="B15" s="17"/>
      <c r="C15" s="17"/>
      <c r="D15" s="17"/>
      <c r="E15" s="23"/>
      <c r="L15" s="27" t="s">
        <v>57</v>
      </c>
      <c r="M15" t="s">
        <v>56</v>
      </c>
      <c r="N15">
        <f>DEGREES(ASIN((2*N5)/N14))</f>
        <v>50.543595089472646</v>
      </c>
    </row>
    <row r="16" spans="1:5" ht="14.25">
      <c r="A16" s="18" t="s">
        <v>13</v>
      </c>
      <c r="B16" s="18" t="s">
        <v>14</v>
      </c>
      <c r="C16" s="18" t="s">
        <v>15</v>
      </c>
      <c r="D16" s="18" t="s">
        <v>16</v>
      </c>
      <c r="E16" s="23"/>
    </row>
    <row r="17" spans="1:5" ht="14.25">
      <c r="A17" s="18">
        <v>1</v>
      </c>
      <c r="B17" s="21">
        <f>INDEX(sommets8,A17,1)*LONG8</f>
        <v>0</v>
      </c>
      <c r="C17" s="21">
        <f>INDEX(sommets8,A17,2)*LONG8</f>
        <v>0</v>
      </c>
      <c r="D17" s="21">
        <f>INDEX(sommets8,A17,3)*LONG8</f>
        <v>0</v>
      </c>
      <c r="E17" s="23"/>
    </row>
    <row r="18" spans="1:22" ht="14.25">
      <c r="A18" s="18">
        <v>10</v>
      </c>
      <c r="B18" s="21">
        <f>INDEX(sommets8,A18,1)*LONG8</f>
        <v>44.64446914805817</v>
      </c>
      <c r="C18" s="21">
        <f>INDEX(sommets8,A18,2)*LONG8</f>
        <v>85.76122730153538</v>
      </c>
      <c r="D18" s="21">
        <f>INDEX(sommets8,A18,3)*LONG8</f>
        <v>44.95423524232689</v>
      </c>
      <c r="N18" s="20" t="s">
        <v>13</v>
      </c>
      <c r="O18" s="20" t="s">
        <v>14</v>
      </c>
      <c r="P18" s="20" t="s">
        <v>15</v>
      </c>
      <c r="Q18" s="20" t="s">
        <v>16</v>
      </c>
      <c r="R18" s="6"/>
      <c r="S18" s="20" t="s">
        <v>47</v>
      </c>
      <c r="T18" s="20" t="s">
        <v>48</v>
      </c>
      <c r="U18" s="20" t="s">
        <v>25</v>
      </c>
      <c r="V18" s="20" t="s">
        <v>26</v>
      </c>
    </row>
    <row r="19" spans="1:22" ht="14.25">
      <c r="A19" s="18">
        <v>3</v>
      </c>
      <c r="B19" s="21">
        <f>INDEX(sommets8,A19,1)*LONG8</f>
        <v>136.85522141292026</v>
      </c>
      <c r="C19" s="21">
        <f>INDEX(sommets8,A19,2)*LONG8</f>
        <v>114.83516581226638</v>
      </c>
      <c r="D19" s="21">
        <f>INDEX(sommets8,A19,3)*LONG8</f>
        <v>89.90847048465378</v>
      </c>
      <c r="N19" s="20">
        <v>1</v>
      </c>
      <c r="O19" s="20">
        <v>0</v>
      </c>
      <c r="P19" s="20">
        <v>0</v>
      </c>
      <c r="Q19" s="20">
        <v>0</v>
      </c>
      <c r="R19" s="6"/>
      <c r="S19" s="32">
        <v>5</v>
      </c>
      <c r="T19" s="28">
        <f aca="true" t="shared" si="0" ref="T19:T35">RADIANS(S19)</f>
        <v>0.08726646259971647</v>
      </c>
      <c r="U19" s="28">
        <f aca="true" t="shared" si="1" ref="U19:U35">COS(T19)</f>
        <v>0.9961946980917455</v>
      </c>
      <c r="V19" s="28">
        <f>SIN(T19)</f>
        <v>0.08715574274765817</v>
      </c>
    </row>
    <row r="20" spans="1:22" ht="14.25">
      <c r="A20" s="18">
        <v>11</v>
      </c>
      <c r="B20" s="21">
        <f>INDEX(sommets8,A20,1)*LONG8</f>
        <v>92.21075226486208</v>
      </c>
      <c r="C20" s="21">
        <f>INDEX(sommets8,A20,2)*LONG8</f>
        <v>29.073938510730997</v>
      </c>
      <c r="D20" s="21">
        <f>INDEX(sommets8,A20,3)*LONG8</f>
        <v>44.95423524232689</v>
      </c>
      <c r="N20" s="20">
        <v>2</v>
      </c>
      <c r="O20" s="20">
        <f>q8l2*SIN(T19)</f>
        <v>0.07785265318663584</v>
      </c>
      <c r="P20" s="20">
        <f>q8l2*COS(T19)</f>
        <v>0.8898598978319873</v>
      </c>
      <c r="Q20" s="20">
        <f>2*q8h1</f>
        <v>0.4495423524232689</v>
      </c>
      <c r="R20" s="6"/>
      <c r="S20" s="29">
        <f>45+S19</f>
        <v>50</v>
      </c>
      <c r="T20" s="29">
        <f t="shared" si="0"/>
        <v>0.8726646259971648</v>
      </c>
      <c r="U20" s="29">
        <f t="shared" si="1"/>
        <v>0.6427876096865394</v>
      </c>
      <c r="V20" s="29">
        <f aca="true" t="shared" si="2" ref="V20:V35">SIN(T20)</f>
        <v>0.766044443118978</v>
      </c>
    </row>
    <row r="21" spans="1:22" ht="14.25">
      <c r="A21" s="17" t="s">
        <v>24</v>
      </c>
      <c r="B21" s="17"/>
      <c r="C21" s="17"/>
      <c r="D21" s="17"/>
      <c r="N21" s="20">
        <v>3</v>
      </c>
      <c r="O21" s="20">
        <f aca="true" t="shared" si="3" ref="O21:O27">q8l2*SIN(T20)</f>
        <v>0.6842761070646013</v>
      </c>
      <c r="P21" s="20">
        <f aca="true" t="shared" si="4" ref="P21:P27">q8l2*COS(T20)</f>
        <v>0.5741758290613319</v>
      </c>
      <c r="Q21" s="20">
        <f aca="true" t="shared" si="5" ref="Q21:Q27">2*q8h1</f>
        <v>0.4495423524232689</v>
      </c>
      <c r="S21" s="29">
        <f aca="true" t="shared" si="6" ref="S21:S27">45+S20</f>
        <v>95</v>
      </c>
      <c r="T21" s="29">
        <f t="shared" si="0"/>
        <v>1.6580627893946132</v>
      </c>
      <c r="U21" s="29">
        <f t="shared" si="1"/>
        <v>-0.08715574274765824</v>
      </c>
      <c r="V21" s="29">
        <f t="shared" si="2"/>
        <v>0.9961946980917455</v>
      </c>
    </row>
    <row r="22" spans="1:22" ht="14.25">
      <c r="A22" s="18" t="s">
        <v>13</v>
      </c>
      <c r="B22" s="18" t="s">
        <v>14</v>
      </c>
      <c r="C22" s="18" t="s">
        <v>15</v>
      </c>
      <c r="D22" s="18" t="s">
        <v>16</v>
      </c>
      <c r="N22" s="20">
        <v>4</v>
      </c>
      <c r="O22" s="20">
        <f t="shared" si="3"/>
        <v>0.8898598978319873</v>
      </c>
      <c r="P22" s="20">
        <f t="shared" si="4"/>
        <v>-0.07785265318663591</v>
      </c>
      <c r="Q22" s="20">
        <f t="shared" si="5"/>
        <v>0.4495423524232689</v>
      </c>
      <c r="S22" s="29">
        <f t="shared" si="6"/>
        <v>140</v>
      </c>
      <c r="T22" s="29">
        <f t="shared" si="0"/>
        <v>2.443460952792061</v>
      </c>
      <c r="U22" s="29">
        <f t="shared" si="1"/>
        <v>-0.7660444431189779</v>
      </c>
      <c r="V22" s="29">
        <f t="shared" si="2"/>
        <v>0.6427876096865395</v>
      </c>
    </row>
    <row r="23" spans="1:22" ht="14.25">
      <c r="A23" s="18">
        <v>1</v>
      </c>
      <c r="B23" s="21">
        <f>INDEX(sommets8,A23,1)*LONG8</f>
        <v>0</v>
      </c>
      <c r="C23" s="21">
        <f>INDEX(sommets8,A23,2)*LONG8</f>
        <v>0</v>
      </c>
      <c r="D23" s="21">
        <f>INDEX(sommets8,A23,3)*LONG8</f>
        <v>0</v>
      </c>
      <c r="N23" s="20">
        <v>5</v>
      </c>
      <c r="O23" s="20">
        <f t="shared" si="3"/>
        <v>0.574175829061332</v>
      </c>
      <c r="P23" s="20">
        <f t="shared" si="4"/>
        <v>-0.6842761070646012</v>
      </c>
      <c r="Q23" s="20">
        <f t="shared" si="5"/>
        <v>0.4495423524232689</v>
      </c>
      <c r="S23" s="29">
        <f t="shared" si="6"/>
        <v>185</v>
      </c>
      <c r="T23" s="29">
        <f t="shared" si="0"/>
        <v>3.2288591161895095</v>
      </c>
      <c r="U23" s="29">
        <f t="shared" si="1"/>
        <v>-0.9961946980917455</v>
      </c>
      <c r="V23" s="29">
        <f t="shared" si="2"/>
        <v>-0.08715574274765794</v>
      </c>
    </row>
    <row r="24" spans="1:22" ht="14.25">
      <c r="A24" s="18">
        <v>11</v>
      </c>
      <c r="B24" s="21">
        <f>INDEX(sommets8,A24,1)*LONG8</f>
        <v>92.21075226486208</v>
      </c>
      <c r="C24" s="21">
        <f>INDEX(sommets8,A24,2)*LONG8</f>
        <v>29.073938510730997</v>
      </c>
      <c r="D24" s="21">
        <f>INDEX(sommets8,A24,3)*LONG8</f>
        <v>44.95423524232689</v>
      </c>
      <c r="N24" s="20">
        <v>6</v>
      </c>
      <c r="O24" s="20">
        <f t="shared" si="3"/>
        <v>-0.07785265318663565</v>
      </c>
      <c r="P24" s="20">
        <f t="shared" si="4"/>
        <v>-0.8898598978319873</v>
      </c>
      <c r="Q24" s="20">
        <f t="shared" si="5"/>
        <v>0.4495423524232689</v>
      </c>
      <c r="S24" s="29">
        <f t="shared" si="6"/>
        <v>230</v>
      </c>
      <c r="T24" s="29">
        <f t="shared" si="0"/>
        <v>4.014257279586958</v>
      </c>
      <c r="U24" s="29">
        <f t="shared" si="1"/>
        <v>-0.6427876096865395</v>
      </c>
      <c r="V24" s="29">
        <f t="shared" si="2"/>
        <v>-0.7660444431189779</v>
      </c>
    </row>
    <row r="25" spans="1:22" ht="14.25">
      <c r="A25" s="18">
        <v>4</v>
      </c>
      <c r="B25" s="21">
        <f>INDEX(sommets8,A25,1)*LONG8</f>
        <v>177.97197956639747</v>
      </c>
      <c r="C25" s="21">
        <f>INDEX(sommets8,A25,2)*LONG8</f>
        <v>-15.570530637327181</v>
      </c>
      <c r="D25" s="21">
        <f>INDEX(sommets8,A25,3)*LONG8</f>
        <v>89.90847048465378</v>
      </c>
      <c r="N25" s="20">
        <v>7</v>
      </c>
      <c r="O25" s="20">
        <f t="shared" si="3"/>
        <v>-0.6842761070646012</v>
      </c>
      <c r="P25" s="20">
        <f t="shared" si="4"/>
        <v>-0.574175829061332</v>
      </c>
      <c r="Q25" s="20">
        <f t="shared" si="5"/>
        <v>0.4495423524232689</v>
      </c>
      <c r="S25" s="29">
        <f t="shared" si="6"/>
        <v>275</v>
      </c>
      <c r="T25" s="29">
        <f t="shared" si="0"/>
        <v>4.799655442984406</v>
      </c>
      <c r="U25" s="29">
        <f t="shared" si="1"/>
        <v>0.08715574274765789</v>
      </c>
      <c r="V25" s="29">
        <f t="shared" si="2"/>
        <v>-0.9961946980917455</v>
      </c>
    </row>
    <row r="26" spans="1:22" ht="14.25">
      <c r="A26" s="18">
        <v>12</v>
      </c>
      <c r="B26" s="21">
        <f>INDEX(sommets8,A26,1)*LONG8</f>
        <v>85.7612273015354</v>
      </c>
      <c r="C26" s="21">
        <f>INDEX(sommets8,A26,2)*LONG8</f>
        <v>-44.64446914805815</v>
      </c>
      <c r="D26" s="21">
        <f>INDEX(sommets8,A26,3)*LONG8</f>
        <v>44.95423524232689</v>
      </c>
      <c r="N26" s="20">
        <v>8</v>
      </c>
      <c r="O26" s="20">
        <f t="shared" si="3"/>
        <v>-0.8898598978319873</v>
      </c>
      <c r="P26" s="20">
        <f t="shared" si="4"/>
        <v>0.07785265318663559</v>
      </c>
      <c r="Q26" s="20">
        <f t="shared" si="5"/>
        <v>0.4495423524232689</v>
      </c>
      <c r="S26" s="29">
        <f t="shared" si="6"/>
        <v>320</v>
      </c>
      <c r="T26" s="29">
        <f t="shared" si="0"/>
        <v>5.585053606381854</v>
      </c>
      <c r="U26" s="29">
        <f t="shared" si="1"/>
        <v>0.7660444431189778</v>
      </c>
      <c r="V26" s="29">
        <f t="shared" si="2"/>
        <v>-0.6427876096865396</v>
      </c>
    </row>
    <row r="27" spans="1:22" ht="14.25">
      <c r="A27" s="17" t="s">
        <v>36</v>
      </c>
      <c r="B27" s="17"/>
      <c r="C27" s="17"/>
      <c r="D27" s="17"/>
      <c r="N27" s="20">
        <v>9</v>
      </c>
      <c r="O27" s="20">
        <f t="shared" si="3"/>
        <v>-0.5741758290613321</v>
      </c>
      <c r="P27" s="20">
        <f t="shared" si="4"/>
        <v>0.6842761070646011</v>
      </c>
      <c r="Q27" s="20">
        <f t="shared" si="5"/>
        <v>0.4495423524232689</v>
      </c>
      <c r="S27" s="29">
        <f t="shared" si="6"/>
        <v>365</v>
      </c>
      <c r="T27" s="29">
        <f t="shared" si="0"/>
        <v>6.370451769779303</v>
      </c>
      <c r="U27" s="29">
        <f t="shared" si="1"/>
        <v>0.9961946980917455</v>
      </c>
      <c r="V27" s="29">
        <f t="shared" si="2"/>
        <v>0.08715574274765783</v>
      </c>
    </row>
    <row r="28" spans="1:22" ht="14.25">
      <c r="A28" s="18" t="s">
        <v>13</v>
      </c>
      <c r="B28" s="18" t="s">
        <v>14</v>
      </c>
      <c r="C28" s="18" t="s">
        <v>15</v>
      </c>
      <c r="D28" s="18" t="s">
        <v>16</v>
      </c>
      <c r="N28" s="20">
        <v>10</v>
      </c>
      <c r="O28" s="20">
        <f>q8l1*SIN(T28)</f>
        <v>0.22322234574029085</v>
      </c>
      <c r="P28" s="20">
        <f>q8l1*COS(T28)</f>
        <v>0.4288061365076769</v>
      </c>
      <c r="Q28" s="20">
        <f>q8h1</f>
        <v>0.22477117621163445</v>
      </c>
      <c r="S28" s="29">
        <f>22.5+S19</f>
        <v>27.5</v>
      </c>
      <c r="T28" s="29">
        <f t="shared" si="0"/>
        <v>0.4799655442984406</v>
      </c>
      <c r="U28" s="29">
        <f t="shared" si="1"/>
        <v>0.8870108331782217</v>
      </c>
      <c r="V28" s="29">
        <f t="shared" si="2"/>
        <v>0.4617486132350339</v>
      </c>
    </row>
    <row r="29" spans="1:22" ht="14.25">
      <c r="A29" s="18">
        <v>1</v>
      </c>
      <c r="B29" s="21">
        <f>INDEX(sommets8,A29,1)*LONG8</f>
        <v>0</v>
      </c>
      <c r="C29" s="21">
        <f>INDEX(sommets8,A29,2)*LONG8</f>
        <v>0</v>
      </c>
      <c r="D29" s="21">
        <f>INDEX(sommets8,A29,3)*LONG8</f>
        <v>0</v>
      </c>
      <c r="N29" s="20">
        <v>11</v>
      </c>
      <c r="O29" s="20">
        <f aca="true" t="shared" si="7" ref="O29:O35">q8l1*SIN(T29)</f>
        <v>0.4610537613243104</v>
      </c>
      <c r="P29" s="20">
        <f aca="true" t="shared" si="8" ref="P29:P35">q8l1*COS(T29)</f>
        <v>0.14536969255365498</v>
      </c>
      <c r="Q29" s="20">
        <f aca="true" t="shared" si="9" ref="Q29:Q35">q8h1</f>
        <v>0.22477117621163445</v>
      </c>
      <c r="S29" s="29">
        <f>45+S28</f>
        <v>72.5</v>
      </c>
      <c r="T29" s="29">
        <f t="shared" si="0"/>
        <v>1.265363707695889</v>
      </c>
      <c r="U29" s="29">
        <f t="shared" si="1"/>
        <v>0.30070579950427306</v>
      </c>
      <c r="V29" s="29">
        <f t="shared" si="2"/>
        <v>0.9537169507482269</v>
      </c>
    </row>
    <row r="30" spans="1:22" ht="14.25">
      <c r="A30" s="18">
        <v>12</v>
      </c>
      <c r="B30" s="21">
        <f>INDEX(sommets8,A30,1)*LONG8</f>
        <v>85.7612273015354</v>
      </c>
      <c r="C30" s="21">
        <f>INDEX(sommets8,A30,2)*LONG8</f>
        <v>-44.64446914805815</v>
      </c>
      <c r="D30" s="21">
        <f>INDEX(sommets8,A30,3)*LONG8</f>
        <v>44.95423524232689</v>
      </c>
      <c r="N30" s="20">
        <v>12</v>
      </c>
      <c r="O30" s="20">
        <f t="shared" si="7"/>
        <v>0.42880613650767696</v>
      </c>
      <c r="P30" s="20">
        <f t="shared" si="8"/>
        <v>-0.22322234574029076</v>
      </c>
      <c r="Q30" s="20">
        <f t="shared" si="9"/>
        <v>0.22477117621163445</v>
      </c>
      <c r="S30" s="29">
        <f aca="true" t="shared" si="10" ref="S30:S35">45+S29</f>
        <v>117.5</v>
      </c>
      <c r="T30" s="29">
        <f t="shared" si="0"/>
        <v>2.050761871093337</v>
      </c>
      <c r="U30" s="29">
        <f t="shared" si="1"/>
        <v>-0.46174861323503374</v>
      </c>
      <c r="V30" s="29">
        <f t="shared" si="2"/>
        <v>0.8870108331782218</v>
      </c>
    </row>
    <row r="31" spans="1:22" ht="14.25">
      <c r="A31" s="18">
        <v>5</v>
      </c>
      <c r="B31" s="21">
        <f>INDEX(sommets8,A31,1)*LONG8</f>
        <v>114.83516581226641</v>
      </c>
      <c r="C31" s="21">
        <f>INDEX(sommets8,A31,2)*LONG8</f>
        <v>-136.85522141292023</v>
      </c>
      <c r="D31" s="21">
        <f>INDEX(sommets8,A31,3)*LONG8</f>
        <v>89.90847048465378</v>
      </c>
      <c r="N31" s="20">
        <v>13</v>
      </c>
      <c r="O31" s="20">
        <f t="shared" si="7"/>
        <v>0.14536969255365512</v>
      </c>
      <c r="P31" s="20">
        <f t="shared" si="8"/>
        <v>-0.46105376132431036</v>
      </c>
      <c r="Q31" s="20">
        <f t="shared" si="9"/>
        <v>0.22477117621163445</v>
      </c>
      <c r="S31" s="29">
        <f t="shared" si="10"/>
        <v>162.5</v>
      </c>
      <c r="T31" s="29">
        <f t="shared" si="0"/>
        <v>2.8361600344907854</v>
      </c>
      <c r="U31" s="29">
        <f t="shared" si="1"/>
        <v>-0.9537169507482268</v>
      </c>
      <c r="V31" s="29">
        <f t="shared" si="2"/>
        <v>0.30070579950427334</v>
      </c>
    </row>
    <row r="32" spans="1:22" ht="14.25">
      <c r="A32" s="18">
        <v>13</v>
      </c>
      <c r="B32" s="21">
        <f>INDEX(sommets8,A32,1)*LONG8</f>
        <v>29.073938510731022</v>
      </c>
      <c r="C32" s="21">
        <f>INDEX(sommets8,A32,2)*LONG8</f>
        <v>-92.21075226486207</v>
      </c>
      <c r="D32" s="21">
        <f>INDEX(sommets8,A32,3)*LONG8</f>
        <v>44.95423524232689</v>
      </c>
      <c r="N32" s="20">
        <v>14</v>
      </c>
      <c r="O32" s="20">
        <f t="shared" si="7"/>
        <v>-0.22322234574029076</v>
      </c>
      <c r="P32" s="20">
        <f t="shared" si="8"/>
        <v>-0.42880613650767696</v>
      </c>
      <c r="Q32" s="20">
        <f t="shared" si="9"/>
        <v>0.22477117621163445</v>
      </c>
      <c r="S32" s="29">
        <f t="shared" si="10"/>
        <v>207.5</v>
      </c>
      <c r="T32" s="29">
        <f t="shared" si="0"/>
        <v>3.6215581978882336</v>
      </c>
      <c r="U32" s="29">
        <f t="shared" si="1"/>
        <v>-0.8870108331782218</v>
      </c>
      <c r="V32" s="29">
        <f t="shared" si="2"/>
        <v>-0.46174861323503374</v>
      </c>
    </row>
    <row r="33" spans="1:22" ht="14.25">
      <c r="A33" s="17" t="s">
        <v>37</v>
      </c>
      <c r="B33" s="17"/>
      <c r="C33" s="17"/>
      <c r="D33" s="17"/>
      <c r="N33" s="20">
        <v>15</v>
      </c>
      <c r="O33" s="20">
        <f t="shared" si="7"/>
        <v>-0.4610537613243104</v>
      </c>
      <c r="P33" s="20">
        <f t="shared" si="8"/>
        <v>-0.14536969255365492</v>
      </c>
      <c r="Q33" s="20">
        <f t="shared" si="9"/>
        <v>0.22477117621163445</v>
      </c>
      <c r="S33" s="29">
        <f t="shared" si="10"/>
        <v>252.5</v>
      </c>
      <c r="T33" s="29">
        <f t="shared" si="0"/>
        <v>4.406956361285682</v>
      </c>
      <c r="U33" s="29">
        <f t="shared" si="1"/>
        <v>-0.30070579950427295</v>
      </c>
      <c r="V33" s="29">
        <f t="shared" si="2"/>
        <v>-0.9537169507482269</v>
      </c>
    </row>
    <row r="34" spans="1:22" ht="14.25">
      <c r="A34" s="18" t="s">
        <v>13</v>
      </c>
      <c r="B34" s="18" t="s">
        <v>14</v>
      </c>
      <c r="C34" s="18" t="s">
        <v>15</v>
      </c>
      <c r="D34" s="18" t="s">
        <v>16</v>
      </c>
      <c r="N34" s="20">
        <v>16</v>
      </c>
      <c r="O34" s="20">
        <f t="shared" si="7"/>
        <v>-0.42880613650767685</v>
      </c>
      <c r="P34" s="20">
        <f t="shared" si="8"/>
        <v>0.22322234574029093</v>
      </c>
      <c r="Q34" s="20">
        <f t="shared" si="9"/>
        <v>0.22477117621163445</v>
      </c>
      <c r="S34" s="29">
        <f t="shared" si="10"/>
        <v>297.5</v>
      </c>
      <c r="T34" s="29">
        <f t="shared" si="0"/>
        <v>5.192354524683131</v>
      </c>
      <c r="U34" s="29">
        <f t="shared" si="1"/>
        <v>0.4617486132350341</v>
      </c>
      <c r="V34" s="29">
        <f t="shared" si="2"/>
        <v>-0.8870108331782216</v>
      </c>
    </row>
    <row r="35" spans="1:22" ht="14.25">
      <c r="A35" s="18">
        <v>1</v>
      </c>
      <c r="B35" s="21">
        <f>INDEX(sommets8,A35,1)*LONG8</f>
        <v>0</v>
      </c>
      <c r="C35" s="21">
        <f>INDEX(sommets8,A35,2)*LONG8</f>
        <v>0</v>
      </c>
      <c r="D35" s="21">
        <f>INDEX(sommets8,A35,3)*LONG8</f>
        <v>0</v>
      </c>
      <c r="N35" s="20">
        <v>17</v>
      </c>
      <c r="O35" s="20">
        <f t="shared" si="7"/>
        <v>-0.14536969255365495</v>
      </c>
      <c r="P35" s="20">
        <f t="shared" si="8"/>
        <v>0.4610537613243104</v>
      </c>
      <c r="Q35" s="20">
        <f t="shared" si="9"/>
        <v>0.22477117621163445</v>
      </c>
      <c r="S35" s="30">
        <f t="shared" si="10"/>
        <v>342.5</v>
      </c>
      <c r="T35" s="30">
        <f t="shared" si="0"/>
        <v>5.977752688080579</v>
      </c>
      <c r="U35" s="30">
        <f t="shared" si="1"/>
        <v>0.9537169507482269</v>
      </c>
      <c r="V35" s="30">
        <f t="shared" si="2"/>
        <v>-0.300705799504273</v>
      </c>
    </row>
    <row r="36" spans="1:17" ht="14.25">
      <c r="A36" s="18">
        <v>13</v>
      </c>
      <c r="B36" s="21">
        <f>INDEX(sommets8,A36,1)*LONG8</f>
        <v>29.073938510731022</v>
      </c>
      <c r="C36" s="21">
        <f>INDEX(sommets8,A36,2)*LONG8</f>
        <v>-92.21075226486207</v>
      </c>
      <c r="D36" s="21">
        <f>INDEX(sommets8,A36,3)*LONG8</f>
        <v>44.95423524232689</v>
      </c>
      <c r="N36" s="20">
        <v>18</v>
      </c>
      <c r="O36" s="20">
        <f>q8l4*SIN(T19)</f>
        <v>0.11010027800326934</v>
      </c>
      <c r="P36" s="20">
        <f>q8l4*COS(T19)</f>
        <v>1.258451936125933</v>
      </c>
      <c r="Q36" s="20">
        <f>4*q8h1</f>
        <v>0.8990847048465378</v>
      </c>
    </row>
    <row r="37" spans="1:17" ht="14.25">
      <c r="A37" s="18">
        <v>6</v>
      </c>
      <c r="B37" s="21">
        <f>INDEX(sommets8,A37,1)*LONG8</f>
        <v>-15.57053063732713</v>
      </c>
      <c r="C37" s="21">
        <f>INDEX(sommets8,A37,2)*LONG8</f>
        <v>-177.97197956639747</v>
      </c>
      <c r="D37" s="21">
        <f>INDEX(sommets8,A37,3)*LONG8</f>
        <v>89.90847048465378</v>
      </c>
      <c r="N37" s="20">
        <v>19</v>
      </c>
      <c r="O37" s="20">
        <f aca="true" t="shared" si="11" ref="O37:O43">q8l4*SIN(T20)</f>
        <v>0.967712551018623</v>
      </c>
      <c r="P37" s="20">
        <f aca="true" t="shared" si="12" ref="P37:P43">q8l4*COS(T20)</f>
        <v>0.8120072446453513</v>
      </c>
      <c r="Q37" s="20">
        <f aca="true" t="shared" si="13" ref="Q37:Q43">4*q8h1</f>
        <v>0.8990847048465378</v>
      </c>
    </row>
    <row r="38" spans="1:17" ht="14.25">
      <c r="A38" s="18">
        <v>14</v>
      </c>
      <c r="B38" s="21">
        <f>INDEX(sommets8,A38,1)*LONG8</f>
        <v>-44.64446914805815</v>
      </c>
      <c r="C38" s="21">
        <f>INDEX(sommets8,A38,2)*LONG8</f>
        <v>-85.7612273015354</v>
      </c>
      <c r="D38" s="21">
        <f>INDEX(sommets8,A38,3)*LONG8</f>
        <v>44.95423524232689</v>
      </c>
      <c r="N38" s="20">
        <v>20</v>
      </c>
      <c r="O38" s="20">
        <f t="shared" si="11"/>
        <v>1.258451936125933</v>
      </c>
      <c r="P38" s="20">
        <f t="shared" si="12"/>
        <v>-0.11010027800326944</v>
      </c>
      <c r="Q38" s="20">
        <f t="shared" si="13"/>
        <v>0.8990847048465378</v>
      </c>
    </row>
    <row r="39" spans="1:17" ht="14.25">
      <c r="A39" s="17" t="s">
        <v>38</v>
      </c>
      <c r="B39" s="17"/>
      <c r="C39" s="17"/>
      <c r="D39" s="17"/>
      <c r="N39" s="20">
        <v>21</v>
      </c>
      <c r="O39" s="20">
        <f t="shared" si="11"/>
        <v>0.8120072446453515</v>
      </c>
      <c r="P39" s="20">
        <f t="shared" si="12"/>
        <v>-0.9677125510186227</v>
      </c>
      <c r="Q39" s="20">
        <f t="shared" si="13"/>
        <v>0.8990847048465378</v>
      </c>
    </row>
    <row r="40" spans="1:17" ht="14.25">
      <c r="A40" s="18" t="s">
        <v>13</v>
      </c>
      <c r="B40" s="18" t="s">
        <v>14</v>
      </c>
      <c r="C40" s="18" t="s">
        <v>15</v>
      </c>
      <c r="D40" s="18" t="s">
        <v>16</v>
      </c>
      <c r="N40" s="20">
        <v>22</v>
      </c>
      <c r="O40" s="20">
        <f t="shared" si="11"/>
        <v>-0.11010027800326906</v>
      </c>
      <c r="P40" s="20">
        <f t="shared" si="12"/>
        <v>-1.258451936125933</v>
      </c>
      <c r="Q40" s="20">
        <f t="shared" si="13"/>
        <v>0.8990847048465378</v>
      </c>
    </row>
    <row r="41" spans="1:17" ht="14.25">
      <c r="A41" s="18">
        <v>1</v>
      </c>
      <c r="B41" s="21">
        <f>INDEX(sommets8,A41,1)*LONG8</f>
        <v>0</v>
      </c>
      <c r="C41" s="21">
        <f>INDEX(sommets8,A41,2)*LONG8</f>
        <v>0</v>
      </c>
      <c r="D41" s="21">
        <f>INDEX(sommets8,A41,3)*LONG8</f>
        <v>0</v>
      </c>
      <c r="N41" s="20">
        <v>23</v>
      </c>
      <c r="O41" s="20">
        <f t="shared" si="11"/>
        <v>-0.9677125510186227</v>
      </c>
      <c r="P41" s="20">
        <f t="shared" si="12"/>
        <v>-0.8120072446453515</v>
      </c>
      <c r="Q41" s="20">
        <f t="shared" si="13"/>
        <v>0.8990847048465378</v>
      </c>
    </row>
    <row r="42" spans="1:17" ht="14.25">
      <c r="A42" s="18">
        <v>14</v>
      </c>
      <c r="B42" s="21">
        <f>INDEX(sommets8,A42,1)*LONG8</f>
        <v>-44.64446914805815</v>
      </c>
      <c r="C42" s="21">
        <f>INDEX(sommets8,A42,2)*LONG8</f>
        <v>-85.7612273015354</v>
      </c>
      <c r="D42" s="21">
        <f>INDEX(sommets8,A42,3)*LONG8</f>
        <v>44.95423524232689</v>
      </c>
      <c r="N42" s="20">
        <v>24</v>
      </c>
      <c r="O42" s="20">
        <f t="shared" si="11"/>
        <v>-1.258451936125933</v>
      </c>
      <c r="P42" s="20">
        <f t="shared" si="12"/>
        <v>0.11010027800326899</v>
      </c>
      <c r="Q42" s="20">
        <f t="shared" si="13"/>
        <v>0.8990847048465378</v>
      </c>
    </row>
    <row r="43" spans="1:17" ht="14.25">
      <c r="A43" s="18">
        <v>7</v>
      </c>
      <c r="B43" s="21">
        <f>INDEX(sommets8,A43,1)*LONG8</f>
        <v>-136.85522141292023</v>
      </c>
      <c r="C43" s="21">
        <f>INDEX(sommets8,A43,2)*LONG8</f>
        <v>-114.83516581226641</v>
      </c>
      <c r="D43" s="21">
        <f>INDEX(sommets8,A43,3)*LONG8</f>
        <v>89.90847048465378</v>
      </c>
      <c r="N43" s="20">
        <v>25</v>
      </c>
      <c r="O43" s="20">
        <f t="shared" si="11"/>
        <v>-0.8120072446453517</v>
      </c>
      <c r="P43" s="20">
        <f t="shared" si="12"/>
        <v>0.9677125510186226</v>
      </c>
      <c r="Q43" s="20">
        <f t="shared" si="13"/>
        <v>0.8990847048465378</v>
      </c>
    </row>
    <row r="44" spans="1:17" ht="14.25">
      <c r="A44" s="18">
        <v>15</v>
      </c>
      <c r="B44" s="21">
        <f>INDEX(sommets8,A44,1)*LONG8</f>
        <v>-92.21075226486208</v>
      </c>
      <c r="C44" s="21">
        <f>INDEX(sommets8,A44,2)*LONG8</f>
        <v>-29.073938510730983</v>
      </c>
      <c r="D44" s="21">
        <f>INDEX(sommets8,A44,3)*LONG8</f>
        <v>44.95423524232689</v>
      </c>
      <c r="N44" s="20">
        <v>26</v>
      </c>
      <c r="O44" s="20">
        <f>q8l3*SIN(T28)</f>
        <v>0.5389064145109462</v>
      </c>
      <c r="P44" s="20">
        <f>q8l3*COS(T28)</f>
        <v>1.035229590385642</v>
      </c>
      <c r="Q44" s="20">
        <f>3*q8h1</f>
        <v>0.6743135286349033</v>
      </c>
    </row>
    <row r="45" spans="1:17" ht="14.25">
      <c r="A45" s="17" t="s">
        <v>39</v>
      </c>
      <c r="B45" s="17"/>
      <c r="C45" s="17"/>
      <c r="D45" s="17"/>
      <c r="N45" s="20">
        <v>27</v>
      </c>
      <c r="O45" s="20">
        <f aca="true" t="shared" si="14" ref="O45:O51">q8l3*SIN(T29)</f>
        <v>1.113082243572278</v>
      </c>
      <c r="P45" s="20">
        <f aca="true" t="shared" si="15" ref="P45:P51">q8l3*COS(T29)</f>
        <v>0.3509534833210409</v>
      </c>
      <c r="Q45" s="20">
        <f aca="true" t="shared" si="16" ref="Q45:Q51">3*q8h1</f>
        <v>0.6743135286349033</v>
      </c>
    </row>
    <row r="46" spans="1:17" ht="14.25">
      <c r="A46" s="18" t="s">
        <v>13</v>
      </c>
      <c r="B46" s="18" t="s">
        <v>14</v>
      </c>
      <c r="C46" s="18" t="s">
        <v>15</v>
      </c>
      <c r="D46" s="18" t="s">
        <v>16</v>
      </c>
      <c r="N46" s="20">
        <v>28</v>
      </c>
      <c r="O46" s="20">
        <f t="shared" si="14"/>
        <v>1.0352295903856423</v>
      </c>
      <c r="P46" s="20">
        <f t="shared" si="15"/>
        <v>-0.538906414510946</v>
      </c>
      <c r="Q46" s="20">
        <f t="shared" si="16"/>
        <v>0.6743135286349033</v>
      </c>
    </row>
    <row r="47" spans="1:17" ht="14.25">
      <c r="A47" s="18">
        <v>1</v>
      </c>
      <c r="B47" s="21">
        <f>INDEX(sommets8,A47,1)*LONG8</f>
        <v>0</v>
      </c>
      <c r="C47" s="21">
        <f>INDEX(sommets8,A47,2)*LONG8</f>
        <v>0</v>
      </c>
      <c r="D47" s="21">
        <f>INDEX(sommets8,A47,3)*LONG8</f>
        <v>0</v>
      </c>
      <c r="N47" s="20">
        <v>29</v>
      </c>
      <c r="O47" s="20">
        <f t="shared" si="14"/>
        <v>0.35095348332104126</v>
      </c>
      <c r="P47" s="20">
        <f t="shared" si="15"/>
        <v>-1.1130822435722778</v>
      </c>
      <c r="Q47" s="20">
        <f t="shared" si="16"/>
        <v>0.6743135286349033</v>
      </c>
    </row>
    <row r="48" spans="1:17" ht="14.25">
      <c r="A48" s="18">
        <v>15</v>
      </c>
      <c r="B48" s="21">
        <f>INDEX(sommets8,A48,1)*LONG8</f>
        <v>-92.21075226486208</v>
      </c>
      <c r="C48" s="21">
        <f>INDEX(sommets8,A48,2)*LONG8</f>
        <v>-29.073938510730983</v>
      </c>
      <c r="D48" s="21">
        <f>INDEX(sommets8,A48,3)*LONG8</f>
        <v>44.95423524232689</v>
      </c>
      <c r="N48" s="20">
        <v>30</v>
      </c>
      <c r="O48" s="20">
        <f t="shared" si="14"/>
        <v>-0.538906414510946</v>
      </c>
      <c r="P48" s="20">
        <f t="shared" si="15"/>
        <v>-1.0352295903856423</v>
      </c>
      <c r="Q48" s="20">
        <f t="shared" si="16"/>
        <v>0.6743135286349033</v>
      </c>
    </row>
    <row r="49" spans="1:17" ht="14.25">
      <c r="A49" s="18">
        <v>8</v>
      </c>
      <c r="B49" s="21">
        <f>INDEX(sommets8,A49,1)*LONG8</f>
        <v>-177.97197956639747</v>
      </c>
      <c r="C49" s="21">
        <f>INDEX(sommets8,A49,2)*LONG8</f>
        <v>15.570530637327117</v>
      </c>
      <c r="D49" s="21">
        <f>INDEX(sommets8,A49,3)*LONG8</f>
        <v>89.90847048465378</v>
      </c>
      <c r="N49" s="20">
        <v>31</v>
      </c>
      <c r="O49" s="20">
        <f t="shared" si="14"/>
        <v>-1.113082243572278</v>
      </c>
      <c r="P49" s="20">
        <f t="shared" si="15"/>
        <v>-0.3509534833210408</v>
      </c>
      <c r="Q49" s="20">
        <f t="shared" si="16"/>
        <v>0.6743135286349033</v>
      </c>
    </row>
    <row r="50" spans="1:17" ht="14.25">
      <c r="A50" s="18">
        <v>16</v>
      </c>
      <c r="B50" s="21">
        <f>INDEX(sommets8,A50,1)*LONG8</f>
        <v>-85.76122730153537</v>
      </c>
      <c r="C50" s="21">
        <f>INDEX(sommets8,A50,2)*LONG8</f>
        <v>44.644469148058185</v>
      </c>
      <c r="D50" s="21">
        <f>INDEX(sommets8,A50,3)*LONG8</f>
        <v>44.95423524232689</v>
      </c>
      <c r="N50" s="20">
        <v>32</v>
      </c>
      <c r="O50" s="20">
        <f t="shared" si="14"/>
        <v>-1.035229590385642</v>
      </c>
      <c r="P50" s="20">
        <f t="shared" si="15"/>
        <v>0.5389064145109463</v>
      </c>
      <c r="Q50" s="20">
        <f t="shared" si="16"/>
        <v>0.6743135286349033</v>
      </c>
    </row>
    <row r="51" spans="1:17" ht="14.25">
      <c r="A51" s="17" t="s">
        <v>40</v>
      </c>
      <c r="B51" s="17"/>
      <c r="C51" s="17"/>
      <c r="D51" s="17"/>
      <c r="N51" s="20">
        <v>33</v>
      </c>
      <c r="O51" s="20">
        <f t="shared" si="14"/>
        <v>-0.35095348332104087</v>
      </c>
      <c r="P51" s="20">
        <f t="shared" si="15"/>
        <v>1.113082243572278</v>
      </c>
      <c r="Q51" s="20">
        <f t="shared" si="16"/>
        <v>0.6743135286349033</v>
      </c>
    </row>
    <row r="52" spans="1:4" ht="14.25">
      <c r="A52" s="18" t="s">
        <v>13</v>
      </c>
      <c r="B52" s="18" t="s">
        <v>14</v>
      </c>
      <c r="C52" s="18" t="s">
        <v>15</v>
      </c>
      <c r="D52" s="18" t="s">
        <v>16</v>
      </c>
    </row>
    <row r="53" spans="1:4" ht="14.25">
      <c r="A53" s="18">
        <v>1</v>
      </c>
      <c r="B53" s="21">
        <f>INDEX(sommets8,A53,1)*LONG8</f>
        <v>0</v>
      </c>
      <c r="C53" s="21">
        <f>INDEX(sommets8,A53,2)*LONG8</f>
        <v>0</v>
      </c>
      <c r="D53" s="21">
        <f>INDEX(sommets8,A53,3)*LONG8</f>
        <v>0</v>
      </c>
    </row>
    <row r="54" spans="1:4" ht="14.25">
      <c r="A54" s="18">
        <v>16</v>
      </c>
      <c r="B54" s="21">
        <f>INDEX(sommets8,A54,1)*LONG8</f>
        <v>-85.76122730153537</v>
      </c>
      <c r="C54" s="21">
        <f>INDEX(sommets8,A54,2)*LONG8</f>
        <v>44.644469148058185</v>
      </c>
      <c r="D54" s="21">
        <f>INDEX(sommets8,A54,3)*LONG8</f>
        <v>44.95423524232689</v>
      </c>
    </row>
    <row r="55" spans="1:4" ht="14.25">
      <c r="A55" s="18">
        <v>9</v>
      </c>
      <c r="B55" s="21">
        <f>INDEX(sommets8,A55,1)*LONG8</f>
        <v>-114.83516581226642</v>
      </c>
      <c r="C55" s="21">
        <f>INDEX(sommets8,A55,2)*LONG8</f>
        <v>136.8552214129202</v>
      </c>
      <c r="D55" s="21">
        <f>INDEX(sommets8,A55,3)*LONG8</f>
        <v>89.90847048465378</v>
      </c>
    </row>
    <row r="56" spans="1:4" ht="14.25">
      <c r="A56" s="18">
        <v>17</v>
      </c>
      <c r="B56" s="21">
        <f>INDEX(sommets8,A56,1)*LONG8</f>
        <v>-29.07393851073099</v>
      </c>
      <c r="C56" s="21">
        <f>INDEX(sommets8,A56,2)*LONG8</f>
        <v>92.21075226486208</v>
      </c>
      <c r="D56" s="21">
        <f>INDEX(sommets8,A56,3)*LONG8</f>
        <v>44.95423524232689</v>
      </c>
    </row>
    <row r="57" spans="1:4" ht="14.25">
      <c r="A57" s="17" t="s">
        <v>41</v>
      </c>
      <c r="B57" s="17"/>
      <c r="C57" s="17"/>
      <c r="D57" s="17"/>
    </row>
    <row r="58" spans="1:4" ht="14.25">
      <c r="A58" s="18" t="s">
        <v>13</v>
      </c>
      <c r="B58" s="18" t="s">
        <v>14</v>
      </c>
      <c r="C58" s="18" t="s">
        <v>15</v>
      </c>
      <c r="D58" s="18" t="s">
        <v>16</v>
      </c>
    </row>
    <row r="59" spans="1:4" ht="14.25">
      <c r="A59" s="18">
        <v>10</v>
      </c>
      <c r="B59" s="21">
        <f>INDEX(sommets8,A59,1)*LONG8</f>
        <v>44.64446914805817</v>
      </c>
      <c r="C59" s="21">
        <f>INDEX(sommets8,A59,2)*LONG8</f>
        <v>85.76122730153538</v>
      </c>
      <c r="D59" s="21">
        <f>INDEX(sommets8,A59,3)*LONG8</f>
        <v>44.95423524232689</v>
      </c>
    </row>
    <row r="60" spans="1:4" ht="14.25">
      <c r="A60" s="18">
        <v>2</v>
      </c>
      <c r="B60" s="21">
        <f>INDEX(sommets8,A60,1)*LONG8</f>
        <v>15.570530637327169</v>
      </c>
      <c r="C60" s="21">
        <f>INDEX(sommets8,A60,2)*LONG8</f>
        <v>177.97197956639747</v>
      </c>
      <c r="D60" s="21">
        <f>INDEX(sommets8,A60,3)*LONG8</f>
        <v>89.90847048465378</v>
      </c>
    </row>
    <row r="61" spans="1:4" ht="14.25">
      <c r="A61" s="18">
        <v>26</v>
      </c>
      <c r="B61" s="21">
        <f>INDEX(sommets8,A61,1)*LONG8</f>
        <v>107.78128290218925</v>
      </c>
      <c r="C61" s="21">
        <f>INDEX(sommets8,A61,2)*LONG8</f>
        <v>207.04591807712842</v>
      </c>
      <c r="D61" s="21">
        <f>INDEX(sommets8,A61,3)*LONG8</f>
        <v>134.86270572698066</v>
      </c>
    </row>
    <row r="62" spans="1:4" ht="14.25">
      <c r="A62" s="18">
        <v>3</v>
      </c>
      <c r="B62" s="21">
        <f>INDEX(sommets8,A62,1)*LONG8</f>
        <v>136.85522141292026</v>
      </c>
      <c r="C62" s="21">
        <f>INDEX(sommets8,A62,2)*LONG8</f>
        <v>114.83516581226638</v>
      </c>
      <c r="D62" s="21">
        <f>INDEX(sommets8,A62,3)*LONG8</f>
        <v>89.90847048465378</v>
      </c>
    </row>
    <row r="63" spans="1:4" ht="14.25">
      <c r="A63" s="17" t="s">
        <v>42</v>
      </c>
      <c r="B63" s="17"/>
      <c r="C63" s="17"/>
      <c r="D63" s="17"/>
    </row>
    <row r="64" spans="1:4" ht="14.25">
      <c r="A64" s="18" t="s">
        <v>13</v>
      </c>
      <c r="B64" s="18" t="s">
        <v>14</v>
      </c>
      <c r="C64" s="18" t="s">
        <v>15</v>
      </c>
      <c r="D64" s="18" t="s">
        <v>16</v>
      </c>
    </row>
    <row r="65" spans="1:4" ht="14.25">
      <c r="A65" s="18">
        <v>11</v>
      </c>
      <c r="B65" s="21">
        <f>INDEX(sommets8,A65,1)*LONG8</f>
        <v>92.21075226486208</v>
      </c>
      <c r="C65" s="21">
        <f>INDEX(sommets8,A65,2)*LONG8</f>
        <v>29.073938510730997</v>
      </c>
      <c r="D65" s="21">
        <f>INDEX(sommets8,A65,3)*LONG8</f>
        <v>44.95423524232689</v>
      </c>
    </row>
    <row r="66" spans="1:4" ht="14.25">
      <c r="A66" s="18">
        <v>3</v>
      </c>
      <c r="B66" s="21">
        <f>INDEX(sommets8,A66,1)*LONG8</f>
        <v>136.85522141292026</v>
      </c>
      <c r="C66" s="21">
        <f>INDEX(sommets8,A66,2)*LONG8</f>
        <v>114.83516581226638</v>
      </c>
      <c r="D66" s="21">
        <f>INDEX(sommets8,A66,3)*LONG8</f>
        <v>89.90847048465378</v>
      </c>
    </row>
    <row r="67" spans="1:4" ht="14.25">
      <c r="A67" s="18">
        <v>27</v>
      </c>
      <c r="B67" s="21">
        <f>INDEX(sommets8,A67,1)*LONG8</f>
        <v>222.6164487144556</v>
      </c>
      <c r="C67" s="21">
        <f>INDEX(sommets8,A67,2)*LONG8</f>
        <v>70.19069666420819</v>
      </c>
      <c r="D67" s="21">
        <f>INDEX(sommets8,A67,3)*LONG8</f>
        <v>134.86270572698066</v>
      </c>
    </row>
    <row r="68" spans="1:4" ht="14.25">
      <c r="A68" s="18">
        <v>4</v>
      </c>
      <c r="B68" s="21">
        <f>INDEX(sommets8,A68,1)*LONG8</f>
        <v>177.97197956639747</v>
      </c>
      <c r="C68" s="21">
        <f>INDEX(sommets8,A68,2)*LONG8</f>
        <v>-15.570530637327181</v>
      </c>
      <c r="D68" s="21">
        <f>INDEX(sommets8,A68,3)*LONG8</f>
        <v>89.90847048465378</v>
      </c>
    </row>
    <row r="69" spans="1:4" ht="14.25">
      <c r="A69" s="17" t="s">
        <v>43</v>
      </c>
      <c r="B69" s="17"/>
      <c r="C69" s="17"/>
      <c r="D69" s="17"/>
    </row>
    <row r="70" spans="1:4" ht="14.25">
      <c r="A70" s="18" t="s">
        <v>13</v>
      </c>
      <c r="B70" s="18" t="s">
        <v>14</v>
      </c>
      <c r="C70" s="18" t="s">
        <v>15</v>
      </c>
      <c r="D70" s="18" t="s">
        <v>16</v>
      </c>
    </row>
    <row r="71" spans="1:4" ht="14.25">
      <c r="A71" s="18">
        <v>12</v>
      </c>
      <c r="B71" s="21">
        <f>INDEX(sommets8,A71,1)*LONG8</f>
        <v>85.7612273015354</v>
      </c>
      <c r="C71" s="21">
        <f>INDEX(sommets8,A71,2)*LONG8</f>
        <v>-44.64446914805815</v>
      </c>
      <c r="D71" s="21">
        <f>INDEX(sommets8,A71,3)*LONG8</f>
        <v>44.95423524232689</v>
      </c>
    </row>
    <row r="72" spans="1:4" ht="14.25">
      <c r="A72" s="18">
        <v>4</v>
      </c>
      <c r="B72" s="21">
        <f>INDEX(sommets8,A72,1)*LONG8</f>
        <v>177.97197956639747</v>
      </c>
      <c r="C72" s="21">
        <f>INDEX(sommets8,A72,2)*LONG8</f>
        <v>-15.570530637327181</v>
      </c>
      <c r="D72" s="21">
        <f>INDEX(sommets8,A72,3)*LONG8</f>
        <v>89.90847048465378</v>
      </c>
    </row>
    <row r="73" spans="1:4" ht="14.25">
      <c r="A73" s="18">
        <v>28</v>
      </c>
      <c r="B73" s="21">
        <f>INDEX(sommets8,A73,1)*LONG8</f>
        <v>207.04591807712848</v>
      </c>
      <c r="C73" s="21">
        <f>INDEX(sommets8,A73,2)*LONG8</f>
        <v>-107.7812829021892</v>
      </c>
      <c r="D73" s="21">
        <f>INDEX(sommets8,A73,3)*LONG8</f>
        <v>134.86270572698066</v>
      </c>
    </row>
    <row r="74" spans="1:4" ht="14.25">
      <c r="A74" s="18">
        <v>5</v>
      </c>
      <c r="B74" s="21">
        <f>INDEX(sommets8,A74,1)*LONG8</f>
        <v>114.83516581226641</v>
      </c>
      <c r="C74" s="21">
        <f>INDEX(sommets8,A74,2)*LONG8</f>
        <v>-136.85522141292023</v>
      </c>
      <c r="D74" s="21">
        <f>INDEX(sommets8,A74,3)*LONG8</f>
        <v>89.90847048465378</v>
      </c>
    </row>
    <row r="75" spans="1:4" ht="14.25">
      <c r="A75" s="17" t="s">
        <v>44</v>
      </c>
      <c r="B75" s="17"/>
      <c r="C75" s="17"/>
      <c r="D75" s="17"/>
    </row>
    <row r="76" spans="1:4" ht="14.25">
      <c r="A76" s="18" t="s">
        <v>13</v>
      </c>
      <c r="B76" s="18" t="s">
        <v>14</v>
      </c>
      <c r="C76" s="18" t="s">
        <v>15</v>
      </c>
      <c r="D76" s="18" t="s">
        <v>16</v>
      </c>
    </row>
    <row r="77" spans="1:4" ht="14.25">
      <c r="A77" s="18">
        <v>13</v>
      </c>
      <c r="B77" s="21">
        <f>INDEX(sommets8,A77,1)*LONG8</f>
        <v>29.073938510731022</v>
      </c>
      <c r="C77" s="21">
        <f>INDEX(sommets8,A77,2)*LONG8</f>
        <v>-92.21075226486207</v>
      </c>
      <c r="D77" s="21">
        <f>INDEX(sommets8,A77,3)*LONG8</f>
        <v>44.95423524232689</v>
      </c>
    </row>
    <row r="78" spans="1:4" ht="14.25">
      <c r="A78" s="18">
        <v>5</v>
      </c>
      <c r="B78" s="21">
        <f>INDEX(sommets8,A78,1)*LONG8</f>
        <v>114.83516581226641</v>
      </c>
      <c r="C78" s="21">
        <f>INDEX(sommets8,A78,2)*LONG8</f>
        <v>-136.85522141292023</v>
      </c>
      <c r="D78" s="21">
        <f>INDEX(sommets8,A78,3)*LONG8</f>
        <v>89.90847048465378</v>
      </c>
    </row>
    <row r="79" spans="1:4" ht="14.25">
      <c r="A79" s="18">
        <v>29</v>
      </c>
      <c r="B79" s="21">
        <f>INDEX(sommets8,A79,1)*LONG8</f>
        <v>70.19069666420825</v>
      </c>
      <c r="C79" s="21">
        <f>INDEX(sommets8,A79,2)*LONG8</f>
        <v>-222.61644871445557</v>
      </c>
      <c r="D79" s="21">
        <f>INDEX(sommets8,A79,3)*LONG8</f>
        <v>134.86270572698066</v>
      </c>
    </row>
    <row r="80" spans="1:4" ht="14.25">
      <c r="A80" s="18">
        <v>6</v>
      </c>
      <c r="B80" s="21">
        <f>INDEX(sommets8,A80,1)*LONG8</f>
        <v>-15.57053063732713</v>
      </c>
      <c r="C80" s="21">
        <f>INDEX(sommets8,A80,2)*LONG8</f>
        <v>-177.97197956639747</v>
      </c>
      <c r="D80" s="21">
        <f>INDEX(sommets8,A80,3)*LONG8</f>
        <v>89.90847048465378</v>
      </c>
    </row>
    <row r="81" spans="1:4" ht="14.25">
      <c r="A81" s="17" t="s">
        <v>65</v>
      </c>
      <c r="B81" s="17"/>
      <c r="C81" s="17"/>
      <c r="D81" s="17"/>
    </row>
    <row r="82" spans="1:4" ht="14.25">
      <c r="A82" s="18" t="s">
        <v>13</v>
      </c>
      <c r="B82" s="18" t="s">
        <v>14</v>
      </c>
      <c r="C82" s="18" t="s">
        <v>15</v>
      </c>
      <c r="D82" s="18" t="s">
        <v>16</v>
      </c>
    </row>
    <row r="83" spans="1:4" ht="14.25">
      <c r="A83" s="18">
        <v>14</v>
      </c>
      <c r="B83" s="21">
        <f>INDEX(sommets8,A83,1)*LONG8</f>
        <v>-44.64446914805815</v>
      </c>
      <c r="C83" s="21">
        <f>INDEX(sommets8,A83,2)*LONG8</f>
        <v>-85.7612273015354</v>
      </c>
      <c r="D83" s="21">
        <f>INDEX(sommets8,A83,3)*LONG8</f>
        <v>44.95423524232689</v>
      </c>
    </row>
    <row r="84" spans="1:4" ht="14.25">
      <c r="A84" s="18">
        <v>6</v>
      </c>
      <c r="B84" s="21">
        <f>INDEX(sommets8,A84,1)*LONG8</f>
        <v>-15.57053063732713</v>
      </c>
      <c r="C84" s="21">
        <f>INDEX(sommets8,A84,2)*LONG8</f>
        <v>-177.97197956639747</v>
      </c>
      <c r="D84" s="21">
        <f>INDEX(sommets8,A84,3)*LONG8</f>
        <v>89.90847048465378</v>
      </c>
    </row>
    <row r="85" spans="1:4" ht="14.25">
      <c r="A85" s="18">
        <v>30</v>
      </c>
      <c r="B85" s="21">
        <f>INDEX(sommets8,A85,1)*LONG8</f>
        <v>-107.7812829021892</v>
      </c>
      <c r="C85" s="21">
        <f>INDEX(sommets8,A85,2)*LONG8</f>
        <v>-207.04591807712848</v>
      </c>
      <c r="D85" s="21">
        <f>INDEX(sommets8,A85,3)*LONG8</f>
        <v>134.86270572698066</v>
      </c>
    </row>
    <row r="86" spans="1:4" ht="14.25">
      <c r="A86" s="18">
        <v>7</v>
      </c>
      <c r="B86" s="21">
        <f>INDEX(sommets8,A86,1)*LONG8</f>
        <v>-136.85522141292023</v>
      </c>
      <c r="C86" s="21">
        <f>INDEX(sommets8,A86,2)*LONG8</f>
        <v>-114.83516581226641</v>
      </c>
      <c r="D86" s="21">
        <f>INDEX(sommets8,A86,3)*LONG8</f>
        <v>89.90847048465378</v>
      </c>
    </row>
    <row r="87" spans="1:4" ht="14.25">
      <c r="A87" s="17" t="s">
        <v>66</v>
      </c>
      <c r="B87" s="17"/>
      <c r="C87" s="17"/>
      <c r="D87" s="17"/>
    </row>
    <row r="88" spans="1:4" ht="14.25">
      <c r="A88" s="18" t="s">
        <v>13</v>
      </c>
      <c r="B88" s="18" t="s">
        <v>14</v>
      </c>
      <c r="C88" s="18" t="s">
        <v>15</v>
      </c>
      <c r="D88" s="18" t="s">
        <v>16</v>
      </c>
    </row>
    <row r="89" spans="1:4" ht="14.25">
      <c r="A89" s="18">
        <v>15</v>
      </c>
      <c r="B89" s="21">
        <f>INDEX(sommets8,A89,1)*LONG8</f>
        <v>-92.21075226486208</v>
      </c>
      <c r="C89" s="21">
        <f>INDEX(sommets8,A89,2)*LONG8</f>
        <v>-29.073938510730983</v>
      </c>
      <c r="D89" s="21">
        <f>INDEX(sommets8,A89,3)*LONG8</f>
        <v>44.95423524232689</v>
      </c>
    </row>
    <row r="90" spans="1:4" ht="14.25">
      <c r="A90" s="18">
        <v>7</v>
      </c>
      <c r="B90" s="21">
        <f>INDEX(sommets8,A90,1)*LONG8</f>
        <v>-136.85522141292023</v>
      </c>
      <c r="C90" s="21">
        <f>INDEX(sommets8,A90,2)*LONG8</f>
        <v>-114.83516581226641</v>
      </c>
      <c r="D90" s="21">
        <f>INDEX(sommets8,A90,3)*LONG8</f>
        <v>89.90847048465378</v>
      </c>
    </row>
    <row r="91" spans="1:4" ht="14.25">
      <c r="A91" s="18">
        <v>31</v>
      </c>
      <c r="B91" s="21">
        <f>INDEX(sommets8,A91,1)*LONG8</f>
        <v>-222.6164487144556</v>
      </c>
      <c r="C91" s="21">
        <f>INDEX(sommets8,A91,2)*LONG8</f>
        <v>-70.19069666420816</v>
      </c>
      <c r="D91" s="21">
        <f>INDEX(sommets8,A91,3)*LONG8</f>
        <v>134.86270572698066</v>
      </c>
    </row>
    <row r="92" spans="1:4" ht="14.25">
      <c r="A92" s="18">
        <v>8</v>
      </c>
      <c r="B92" s="21">
        <f>INDEX(sommets8,A92,1)*LONG8</f>
        <v>-177.97197956639747</v>
      </c>
      <c r="C92" s="21">
        <f>INDEX(sommets8,A92,2)*LONG8</f>
        <v>15.570530637327117</v>
      </c>
      <c r="D92" s="21">
        <f>INDEX(sommets8,A92,3)*LONG8</f>
        <v>89.90847048465378</v>
      </c>
    </row>
    <row r="93" spans="1:4" ht="14.25">
      <c r="A93" s="17" t="s">
        <v>67</v>
      </c>
      <c r="B93" s="17"/>
      <c r="C93" s="17"/>
      <c r="D93" s="17"/>
    </row>
    <row r="94" spans="1:4" ht="14.25">
      <c r="A94" s="18" t="s">
        <v>13</v>
      </c>
      <c r="B94" s="18" t="s">
        <v>14</v>
      </c>
      <c r="C94" s="18" t="s">
        <v>15</v>
      </c>
      <c r="D94" s="18" t="s">
        <v>16</v>
      </c>
    </row>
    <row r="95" spans="1:4" ht="14.25">
      <c r="A95" s="18">
        <v>16</v>
      </c>
      <c r="B95" s="21">
        <f>INDEX(sommets8,A95,1)*LONG8</f>
        <v>-85.76122730153537</v>
      </c>
      <c r="C95" s="21">
        <f>INDEX(sommets8,A95,2)*LONG8</f>
        <v>44.644469148058185</v>
      </c>
      <c r="D95" s="21">
        <f>INDEX(sommets8,A95,3)*LONG8</f>
        <v>44.95423524232689</v>
      </c>
    </row>
    <row r="96" spans="1:4" ht="14.25">
      <c r="A96" s="18">
        <v>8</v>
      </c>
      <c r="B96" s="21">
        <f>INDEX(sommets8,A96,1)*LONG8</f>
        <v>-177.97197956639747</v>
      </c>
      <c r="C96" s="21">
        <f>INDEX(sommets8,A96,2)*LONG8</f>
        <v>15.570530637327117</v>
      </c>
      <c r="D96" s="21">
        <f>INDEX(sommets8,A96,3)*LONG8</f>
        <v>89.90847048465378</v>
      </c>
    </row>
    <row r="97" spans="1:4" ht="14.25">
      <c r="A97" s="18">
        <v>32</v>
      </c>
      <c r="B97" s="21">
        <f>INDEX(sommets8,A97,1)*LONG8</f>
        <v>-207.04591807712842</v>
      </c>
      <c r="C97" s="21">
        <f>INDEX(sommets8,A97,2)*LONG8</f>
        <v>107.78128290218928</v>
      </c>
      <c r="D97" s="21">
        <f>INDEX(sommets8,A97,3)*LONG8</f>
        <v>134.86270572698066</v>
      </c>
    </row>
    <row r="98" spans="1:4" ht="14.25">
      <c r="A98" s="18">
        <v>9</v>
      </c>
      <c r="B98" s="21">
        <f>INDEX(sommets8,A98,1)*LONG8</f>
        <v>-114.83516581226642</v>
      </c>
      <c r="C98" s="21">
        <f>INDEX(sommets8,A98,2)*LONG8</f>
        <v>136.8552214129202</v>
      </c>
      <c r="D98" s="21">
        <f>INDEX(sommets8,A98,3)*LONG8</f>
        <v>89.90847048465378</v>
      </c>
    </row>
    <row r="99" spans="1:4" ht="14.25">
      <c r="A99" s="17" t="s">
        <v>68</v>
      </c>
      <c r="B99" s="17"/>
      <c r="C99" s="17"/>
      <c r="D99" s="17"/>
    </row>
    <row r="100" spans="1:4" ht="14.25">
      <c r="A100" s="18" t="s">
        <v>13</v>
      </c>
      <c r="B100" s="18" t="s">
        <v>14</v>
      </c>
      <c r="C100" s="18" t="s">
        <v>15</v>
      </c>
      <c r="D100" s="18" t="s">
        <v>16</v>
      </c>
    </row>
    <row r="101" spans="1:4" ht="14.25">
      <c r="A101" s="18">
        <v>17</v>
      </c>
      <c r="B101" s="21">
        <f>INDEX(sommets8,A101,1)*LONG8</f>
        <v>-29.07393851073099</v>
      </c>
      <c r="C101" s="21">
        <f>INDEX(sommets8,A101,2)*LONG8</f>
        <v>92.21075226486208</v>
      </c>
      <c r="D101" s="21">
        <f>INDEX(sommets8,A101,3)*LONG8</f>
        <v>44.95423524232689</v>
      </c>
    </row>
    <row r="102" spans="1:4" ht="14.25">
      <c r="A102" s="18">
        <v>9</v>
      </c>
      <c r="B102" s="21">
        <f>INDEX(sommets8,A102,1)*LONG8</f>
        <v>-114.83516581226642</v>
      </c>
      <c r="C102" s="21">
        <f>INDEX(sommets8,A102,2)*LONG8</f>
        <v>136.8552214129202</v>
      </c>
      <c r="D102" s="21">
        <f>INDEX(sommets8,A102,3)*LONG8</f>
        <v>89.90847048465378</v>
      </c>
    </row>
    <row r="103" spans="1:4" ht="14.25">
      <c r="A103" s="18">
        <v>33</v>
      </c>
      <c r="B103" s="21">
        <f>INDEX(sommets8,A103,1)*LONG8</f>
        <v>-70.19069666420818</v>
      </c>
      <c r="C103" s="21">
        <f>INDEX(sommets8,A103,2)*LONG8</f>
        <v>222.6164487144556</v>
      </c>
      <c r="D103" s="21">
        <f>INDEX(sommets8,A103,3)*LONG8</f>
        <v>134.86270572698066</v>
      </c>
    </row>
    <row r="104" spans="1:4" ht="14.25">
      <c r="A104" s="18">
        <v>2</v>
      </c>
      <c r="B104" s="21">
        <f>INDEX(sommets8,A104,1)*LONG8</f>
        <v>15.570530637327169</v>
      </c>
      <c r="C104" s="21">
        <f>INDEX(sommets8,A104,2)*LONG8</f>
        <v>177.97197956639747</v>
      </c>
      <c r="D104" s="21">
        <f>INDEX(sommets8,A104,3)*LONG8</f>
        <v>89.90847048465378</v>
      </c>
    </row>
    <row r="105" spans="1:4" ht="14.25">
      <c r="A105" s="17" t="s">
        <v>69</v>
      </c>
      <c r="B105" s="17"/>
      <c r="C105" s="17"/>
      <c r="D105" s="17"/>
    </row>
    <row r="106" spans="1:4" ht="14.25">
      <c r="A106" s="18" t="s">
        <v>13</v>
      </c>
      <c r="B106" s="18" t="s">
        <v>14</v>
      </c>
      <c r="C106" s="18" t="s">
        <v>15</v>
      </c>
      <c r="D106" s="18" t="s">
        <v>16</v>
      </c>
    </row>
    <row r="107" spans="1:4" ht="14.25">
      <c r="A107" s="18">
        <v>2</v>
      </c>
      <c r="B107" s="21">
        <f>INDEX(sommets8,A107,1)*LONG8</f>
        <v>15.570530637327169</v>
      </c>
      <c r="C107" s="21">
        <f>INDEX(sommets8,A107,2)*LONG8</f>
        <v>177.97197956639747</v>
      </c>
      <c r="D107" s="21">
        <f>INDEX(sommets8,A107,3)*LONG8</f>
        <v>89.90847048465378</v>
      </c>
    </row>
    <row r="108" spans="1:4" ht="14.25">
      <c r="A108" s="18">
        <v>33</v>
      </c>
      <c r="B108" s="21">
        <f>INDEX(sommets8,A108,1)*LONG8</f>
        <v>-70.19069666420818</v>
      </c>
      <c r="C108" s="21">
        <f>INDEX(sommets8,A108,2)*LONG8</f>
        <v>222.6164487144556</v>
      </c>
      <c r="D108" s="21">
        <f>INDEX(sommets8,A108,3)*LONG8</f>
        <v>134.86270572698066</v>
      </c>
    </row>
    <row r="109" spans="1:4" ht="14.25">
      <c r="A109" s="18">
        <v>18</v>
      </c>
      <c r="B109" s="21">
        <f>INDEX(sommets8,A109,1)*LONG8</f>
        <v>22.02005560065387</v>
      </c>
      <c r="C109" s="21">
        <f>INDEX(sommets8,A109,2)*LONG8</f>
        <v>251.69038722518658</v>
      </c>
      <c r="D109" s="21">
        <f>INDEX(sommets8,A109,3)*LONG8</f>
        <v>179.81694096930755</v>
      </c>
    </row>
    <row r="110" spans="1:4" ht="14.25">
      <c r="A110" s="18">
        <v>26</v>
      </c>
      <c r="B110" s="21">
        <f>INDEX(sommets8,A110,1)*LONG8</f>
        <v>107.78128290218925</v>
      </c>
      <c r="C110" s="21">
        <f>INDEX(sommets8,A110,2)*LONG8</f>
        <v>207.04591807712842</v>
      </c>
      <c r="D110" s="21">
        <f>INDEX(sommets8,A110,3)*LONG8</f>
        <v>134.86270572698066</v>
      </c>
    </row>
    <row r="111" spans="1:4" ht="14.25">
      <c r="A111" s="17" t="s">
        <v>70</v>
      </c>
      <c r="B111" s="17"/>
      <c r="C111" s="17"/>
      <c r="D111" s="17"/>
    </row>
    <row r="112" spans="1:4" ht="14.25">
      <c r="A112" s="18" t="s">
        <v>13</v>
      </c>
      <c r="B112" s="18" t="s">
        <v>14</v>
      </c>
      <c r="C112" s="18" t="s">
        <v>15</v>
      </c>
      <c r="D112" s="18" t="s">
        <v>16</v>
      </c>
    </row>
    <row r="113" spans="1:4" ht="14.25">
      <c r="A113" s="18">
        <v>3</v>
      </c>
      <c r="B113" s="21">
        <f>INDEX(sommets8,A113,1)*LONG8</f>
        <v>136.85522141292026</v>
      </c>
      <c r="C113" s="21">
        <f>INDEX(sommets8,A113,2)*LONG8</f>
        <v>114.83516581226638</v>
      </c>
      <c r="D113" s="21">
        <f>INDEX(sommets8,A113,3)*LONG8</f>
        <v>89.90847048465378</v>
      </c>
    </row>
    <row r="114" spans="1:4" ht="14.25">
      <c r="A114" s="18">
        <v>26</v>
      </c>
      <c r="B114" s="21">
        <f>INDEX(sommets8,A114,1)*LONG8</f>
        <v>107.78128290218925</v>
      </c>
      <c r="C114" s="21">
        <f>INDEX(sommets8,A114,2)*LONG8</f>
        <v>207.04591807712842</v>
      </c>
      <c r="D114" s="21">
        <f>INDEX(sommets8,A114,3)*LONG8</f>
        <v>134.86270572698066</v>
      </c>
    </row>
    <row r="115" spans="1:4" ht="14.25">
      <c r="A115" s="18">
        <v>19</v>
      </c>
      <c r="B115" s="21">
        <f>INDEX(sommets8,A115,1)*LONG8</f>
        <v>193.5425102037246</v>
      </c>
      <c r="C115" s="21">
        <f>INDEX(sommets8,A115,2)*LONG8</f>
        <v>162.40144892907026</v>
      </c>
      <c r="D115" s="21">
        <f>INDEX(sommets8,A115,3)*LONG8</f>
        <v>179.81694096930755</v>
      </c>
    </row>
    <row r="116" spans="1:4" ht="14.25">
      <c r="A116" s="18">
        <v>27</v>
      </c>
      <c r="B116" s="21">
        <f>INDEX(sommets8,A116,1)*LONG8</f>
        <v>222.6164487144556</v>
      </c>
      <c r="C116" s="21">
        <f>INDEX(sommets8,A116,2)*LONG8</f>
        <v>70.19069666420819</v>
      </c>
      <c r="D116" s="21">
        <f>INDEX(sommets8,A116,3)*LONG8</f>
        <v>134.86270572698066</v>
      </c>
    </row>
    <row r="117" spans="1:4" ht="14.25">
      <c r="A117" s="17" t="s">
        <v>71</v>
      </c>
      <c r="B117" s="17"/>
      <c r="C117" s="17"/>
      <c r="D117" s="17"/>
    </row>
    <row r="118" spans="1:4" ht="14.25">
      <c r="A118" s="18" t="s">
        <v>13</v>
      </c>
      <c r="B118" s="18" t="s">
        <v>14</v>
      </c>
      <c r="C118" s="18" t="s">
        <v>15</v>
      </c>
      <c r="D118" s="18" t="s">
        <v>16</v>
      </c>
    </row>
    <row r="119" spans="1:4" ht="14.25">
      <c r="A119" s="18">
        <v>4</v>
      </c>
      <c r="B119" s="21">
        <f>INDEX(sommets8,A119,1)*LONG8</f>
        <v>177.97197956639747</v>
      </c>
      <c r="C119" s="21">
        <f>INDEX(sommets8,A119,2)*LONG8</f>
        <v>-15.570530637327181</v>
      </c>
      <c r="D119" s="21">
        <f>INDEX(sommets8,A119,3)*LONG8</f>
        <v>89.90847048465378</v>
      </c>
    </row>
    <row r="120" spans="1:4" ht="14.25">
      <c r="A120" s="18">
        <v>27</v>
      </c>
      <c r="B120" s="21">
        <f>INDEX(sommets8,A120,1)*LONG8</f>
        <v>222.6164487144556</v>
      </c>
      <c r="C120" s="21">
        <f>INDEX(sommets8,A120,2)*LONG8</f>
        <v>70.19069666420819</v>
      </c>
      <c r="D120" s="21">
        <f>INDEX(sommets8,A120,3)*LONG8</f>
        <v>134.86270572698066</v>
      </c>
    </row>
    <row r="121" spans="1:4" ht="14.25">
      <c r="A121" s="18">
        <v>20</v>
      </c>
      <c r="B121" s="21">
        <f>INDEX(sommets8,A121,1)*LONG8</f>
        <v>251.69038722518658</v>
      </c>
      <c r="C121" s="21">
        <f>INDEX(sommets8,A121,2)*LONG8</f>
        <v>-22.020055600653887</v>
      </c>
      <c r="D121" s="21">
        <f>INDEX(sommets8,A121,3)*LONG8</f>
        <v>179.81694096930755</v>
      </c>
    </row>
    <row r="122" spans="1:4" ht="14.25">
      <c r="A122" s="18">
        <v>28</v>
      </c>
      <c r="B122" s="21">
        <f>INDEX(sommets8,A122,1)*LONG8</f>
        <v>207.04591807712848</v>
      </c>
      <c r="C122" s="21">
        <f>INDEX(sommets8,A122,2)*LONG8</f>
        <v>-107.7812829021892</v>
      </c>
      <c r="D122" s="21">
        <f>INDEX(sommets8,A122,3)*LONG8</f>
        <v>134.86270572698066</v>
      </c>
    </row>
    <row r="123" spans="1:4" ht="14.25">
      <c r="A123" s="17" t="s">
        <v>72</v>
      </c>
      <c r="B123" s="17"/>
      <c r="C123" s="17"/>
      <c r="D123" s="17"/>
    </row>
    <row r="124" spans="1:4" ht="14.25">
      <c r="A124" s="18" t="s">
        <v>13</v>
      </c>
      <c r="B124" s="18" t="s">
        <v>14</v>
      </c>
      <c r="C124" s="18" t="s">
        <v>15</v>
      </c>
      <c r="D124" s="18" t="s">
        <v>16</v>
      </c>
    </row>
    <row r="125" spans="1:4" ht="14.25">
      <c r="A125" s="18">
        <v>5</v>
      </c>
      <c r="B125" s="21">
        <f>INDEX(sommets8,A125,1)*LONG8</f>
        <v>114.83516581226641</v>
      </c>
      <c r="C125" s="21">
        <f>INDEX(sommets8,A125,2)*LONG8</f>
        <v>-136.85522141292023</v>
      </c>
      <c r="D125" s="21">
        <f>INDEX(sommets8,A125,3)*LONG8</f>
        <v>89.90847048465378</v>
      </c>
    </row>
    <row r="126" spans="1:4" ht="14.25">
      <c r="A126" s="18">
        <v>28</v>
      </c>
      <c r="B126" s="21">
        <f>INDEX(sommets8,A126,1)*LONG8</f>
        <v>207.04591807712848</v>
      </c>
      <c r="C126" s="21">
        <f>INDEX(sommets8,A126,2)*LONG8</f>
        <v>-107.7812829021892</v>
      </c>
      <c r="D126" s="21">
        <f>INDEX(sommets8,A126,3)*LONG8</f>
        <v>134.86270572698066</v>
      </c>
    </row>
    <row r="127" spans="1:4" ht="14.25">
      <c r="A127" s="18">
        <v>21</v>
      </c>
      <c r="B127" s="21">
        <f>INDEX(sommets8,A127,1)*LONG8</f>
        <v>162.40144892907028</v>
      </c>
      <c r="C127" s="21">
        <f>INDEX(sommets8,A127,2)*LONG8</f>
        <v>-193.54251020372456</v>
      </c>
      <c r="D127" s="21">
        <f>INDEX(sommets8,A127,3)*LONG8</f>
        <v>179.81694096930755</v>
      </c>
    </row>
    <row r="128" spans="1:4" ht="14.25">
      <c r="A128" s="18">
        <v>29</v>
      </c>
      <c r="B128" s="21">
        <f>INDEX(sommets8,A128,1)*LONG8</f>
        <v>70.19069666420825</v>
      </c>
      <c r="C128" s="21">
        <f>INDEX(sommets8,A128,2)*LONG8</f>
        <v>-222.61644871445557</v>
      </c>
      <c r="D128" s="21">
        <f>INDEX(sommets8,A128,3)*LONG8</f>
        <v>134.86270572698066</v>
      </c>
    </row>
    <row r="129" spans="1:4" ht="14.25">
      <c r="A129" s="17" t="s">
        <v>73</v>
      </c>
      <c r="B129" s="17"/>
      <c r="C129" s="17"/>
      <c r="D129" s="17"/>
    </row>
    <row r="130" spans="1:4" ht="14.25">
      <c r="A130" s="18" t="s">
        <v>13</v>
      </c>
      <c r="B130" s="18" t="s">
        <v>14</v>
      </c>
      <c r="C130" s="18" t="s">
        <v>15</v>
      </c>
      <c r="D130" s="18" t="s">
        <v>16</v>
      </c>
    </row>
    <row r="131" spans="1:4" ht="14.25">
      <c r="A131" s="18">
        <v>6</v>
      </c>
      <c r="B131" s="21">
        <f>INDEX(sommets8,A131,1)*LONG8</f>
        <v>-15.57053063732713</v>
      </c>
      <c r="C131" s="21">
        <f>INDEX(sommets8,A131,2)*LONG8</f>
        <v>-177.97197956639747</v>
      </c>
      <c r="D131" s="21">
        <f>INDEX(sommets8,A131,3)*LONG8</f>
        <v>89.90847048465378</v>
      </c>
    </row>
    <row r="132" spans="1:4" ht="14.25">
      <c r="A132" s="18">
        <v>29</v>
      </c>
      <c r="B132" s="21">
        <f>INDEX(sommets8,A132,1)*LONG8</f>
        <v>70.19069666420825</v>
      </c>
      <c r="C132" s="21">
        <f>INDEX(sommets8,A132,2)*LONG8</f>
        <v>-222.61644871445557</v>
      </c>
      <c r="D132" s="21">
        <f>INDEX(sommets8,A132,3)*LONG8</f>
        <v>134.86270572698066</v>
      </c>
    </row>
    <row r="133" spans="1:4" ht="14.25">
      <c r="A133" s="18">
        <v>22</v>
      </c>
      <c r="B133" s="21">
        <f>INDEX(sommets8,A133,1)*LONG8</f>
        <v>-22.020055600653812</v>
      </c>
      <c r="C133" s="21">
        <f>INDEX(sommets8,A133,2)*LONG8</f>
        <v>-251.69038722518658</v>
      </c>
      <c r="D133" s="21">
        <f>INDEX(sommets8,A133,3)*LONG8</f>
        <v>179.81694096930755</v>
      </c>
    </row>
    <row r="134" spans="1:4" ht="14.25">
      <c r="A134" s="18">
        <v>30</v>
      </c>
      <c r="B134" s="21">
        <f>INDEX(sommets8,A134,1)*LONG8</f>
        <v>-107.7812829021892</v>
      </c>
      <c r="C134" s="21">
        <f>INDEX(sommets8,A134,2)*LONG8</f>
        <v>-207.04591807712848</v>
      </c>
      <c r="D134" s="21">
        <f>INDEX(sommets8,A134,3)*LONG8</f>
        <v>134.86270572698066</v>
      </c>
    </row>
    <row r="135" spans="1:4" ht="14.25">
      <c r="A135" s="17" t="s">
        <v>74</v>
      </c>
      <c r="B135" s="17"/>
      <c r="C135" s="17"/>
      <c r="D135" s="17"/>
    </row>
    <row r="136" spans="1:4" ht="14.25">
      <c r="A136" s="18" t="s">
        <v>13</v>
      </c>
      <c r="B136" s="18" t="s">
        <v>14</v>
      </c>
      <c r="C136" s="18" t="s">
        <v>15</v>
      </c>
      <c r="D136" s="18" t="s">
        <v>16</v>
      </c>
    </row>
    <row r="137" spans="1:4" ht="14.25">
      <c r="A137" s="18">
        <v>7</v>
      </c>
      <c r="B137" s="21">
        <f>INDEX(sommets8,A137,1)*LONG8</f>
        <v>-136.85522141292023</v>
      </c>
      <c r="C137" s="21">
        <f>INDEX(sommets8,A137,2)*LONG8</f>
        <v>-114.83516581226641</v>
      </c>
      <c r="D137" s="21">
        <f>INDEX(sommets8,A137,3)*LONG8</f>
        <v>89.90847048465378</v>
      </c>
    </row>
    <row r="138" spans="1:4" ht="14.25">
      <c r="A138" s="18">
        <v>30</v>
      </c>
      <c r="B138" s="21">
        <f>INDEX(sommets8,A138,1)*LONG8</f>
        <v>-107.7812829021892</v>
      </c>
      <c r="C138" s="21">
        <f>INDEX(sommets8,A138,2)*LONG8</f>
        <v>-207.04591807712848</v>
      </c>
      <c r="D138" s="21">
        <f>INDEX(sommets8,A138,3)*LONG8</f>
        <v>134.86270572698066</v>
      </c>
    </row>
    <row r="139" spans="1:4" ht="14.25">
      <c r="A139" s="18">
        <v>23</v>
      </c>
      <c r="B139" s="21">
        <f>INDEX(sommets8,A139,1)*LONG8</f>
        <v>-193.54251020372456</v>
      </c>
      <c r="C139" s="21">
        <f>INDEX(sommets8,A139,2)*LONG8</f>
        <v>-162.40144892907028</v>
      </c>
      <c r="D139" s="21">
        <f>INDEX(sommets8,A139,3)*LONG8</f>
        <v>179.81694096930755</v>
      </c>
    </row>
    <row r="140" spans="1:4" ht="14.25">
      <c r="A140" s="18">
        <v>31</v>
      </c>
      <c r="B140" s="21">
        <f>INDEX(sommets8,A140,1)*LONG8</f>
        <v>-222.6164487144556</v>
      </c>
      <c r="C140" s="21">
        <f>INDEX(sommets8,A140,2)*LONG8</f>
        <v>-70.19069666420816</v>
      </c>
      <c r="D140" s="21">
        <f>INDEX(sommets8,A140,3)*LONG8</f>
        <v>134.86270572698066</v>
      </c>
    </row>
    <row r="141" spans="1:4" ht="14.25">
      <c r="A141" s="17" t="s">
        <v>75</v>
      </c>
      <c r="B141" s="17"/>
      <c r="C141" s="17"/>
      <c r="D141" s="17"/>
    </row>
    <row r="142" spans="1:4" ht="14.25">
      <c r="A142" s="18" t="s">
        <v>13</v>
      </c>
      <c r="B142" s="18" t="s">
        <v>14</v>
      </c>
      <c r="C142" s="18" t="s">
        <v>15</v>
      </c>
      <c r="D142" s="18" t="s">
        <v>16</v>
      </c>
    </row>
    <row r="143" spans="1:4" ht="14.25">
      <c r="A143" s="18">
        <v>8</v>
      </c>
      <c r="B143" s="21">
        <f>INDEX(sommets8,A143,1)*LONG8</f>
        <v>-177.97197956639747</v>
      </c>
      <c r="C143" s="21">
        <f>INDEX(sommets8,A143,2)*LONG8</f>
        <v>15.570530637327117</v>
      </c>
      <c r="D143" s="21">
        <f>INDEX(sommets8,A143,3)*LONG8</f>
        <v>89.90847048465378</v>
      </c>
    </row>
    <row r="144" spans="1:4" ht="14.25">
      <c r="A144" s="18">
        <v>31</v>
      </c>
      <c r="B144" s="21">
        <f>INDEX(sommets8,A144,1)*LONG8</f>
        <v>-222.6164487144556</v>
      </c>
      <c r="C144" s="21">
        <f>INDEX(sommets8,A144,2)*LONG8</f>
        <v>-70.19069666420816</v>
      </c>
      <c r="D144" s="21">
        <f>INDEX(sommets8,A144,3)*LONG8</f>
        <v>134.86270572698066</v>
      </c>
    </row>
    <row r="145" spans="1:4" ht="14.25">
      <c r="A145" s="18">
        <v>24</v>
      </c>
      <c r="B145" s="21">
        <f>INDEX(sommets8,A145,1)*LONG8</f>
        <v>-251.69038722518658</v>
      </c>
      <c r="C145" s="21">
        <f>INDEX(sommets8,A145,2)*LONG8</f>
        <v>22.020055600653798</v>
      </c>
      <c r="D145" s="21">
        <f>INDEX(sommets8,A145,3)*LONG8</f>
        <v>179.81694096930755</v>
      </c>
    </row>
    <row r="146" spans="1:4" ht="14.25">
      <c r="A146" s="18">
        <v>32</v>
      </c>
      <c r="B146" s="21">
        <f>INDEX(sommets8,A146,1)*LONG8</f>
        <v>-207.04591807712842</v>
      </c>
      <c r="C146" s="21">
        <f>INDEX(sommets8,A146,2)*LONG8</f>
        <v>107.78128290218928</v>
      </c>
      <c r="D146" s="21">
        <f>INDEX(sommets8,A146,3)*LONG8</f>
        <v>134.86270572698066</v>
      </c>
    </row>
    <row r="147" spans="1:4" ht="14.25">
      <c r="A147" s="17" t="s">
        <v>76</v>
      </c>
      <c r="B147" s="17"/>
      <c r="C147" s="17"/>
      <c r="D147" s="17"/>
    </row>
    <row r="148" spans="1:4" ht="14.25">
      <c r="A148" s="18" t="s">
        <v>13</v>
      </c>
      <c r="B148" s="18" t="s">
        <v>14</v>
      </c>
      <c r="C148" s="18" t="s">
        <v>15</v>
      </c>
      <c r="D148" s="18" t="s">
        <v>16</v>
      </c>
    </row>
    <row r="149" spans="1:4" ht="14.25">
      <c r="A149" s="18">
        <v>9</v>
      </c>
      <c r="B149" s="21">
        <f>INDEX(sommets8,A149,1)*LONG8</f>
        <v>-114.83516581226642</v>
      </c>
      <c r="C149" s="21">
        <f>INDEX(sommets8,A149,2)*LONG8</f>
        <v>136.8552214129202</v>
      </c>
      <c r="D149" s="21">
        <f>INDEX(sommets8,A149,3)*LONG8</f>
        <v>89.90847048465378</v>
      </c>
    </row>
    <row r="150" spans="1:4" ht="14.25">
      <c r="A150" s="18">
        <v>32</v>
      </c>
      <c r="B150" s="21">
        <f>INDEX(sommets8,A150,1)*LONG8</f>
        <v>-207.04591807712842</v>
      </c>
      <c r="C150" s="21">
        <f>INDEX(sommets8,A150,2)*LONG8</f>
        <v>107.78128290218928</v>
      </c>
      <c r="D150" s="21">
        <f>INDEX(sommets8,A150,3)*LONG8</f>
        <v>134.86270572698066</v>
      </c>
    </row>
    <row r="151" spans="1:4" ht="14.25">
      <c r="A151" s="18">
        <v>25</v>
      </c>
      <c r="B151" s="21">
        <f>INDEX(sommets8,A151,1)*LONG8</f>
        <v>-162.40144892907034</v>
      </c>
      <c r="C151" s="21">
        <f>INDEX(sommets8,A151,2)*LONG8</f>
        <v>193.54251020372453</v>
      </c>
      <c r="D151" s="21">
        <f>INDEX(sommets8,A151,3)*LONG8</f>
        <v>179.81694096930755</v>
      </c>
    </row>
    <row r="152" spans="1:4" ht="14.25">
      <c r="A152" s="18">
        <v>33</v>
      </c>
      <c r="B152" s="21">
        <f>INDEX(sommets8,A152,1)*LONG8</f>
        <v>-70.19069666420818</v>
      </c>
      <c r="C152" s="21">
        <f>INDEX(sommets8,A152,2)*LONG8</f>
        <v>222.6164487144556</v>
      </c>
      <c r="D152" s="21">
        <f>INDEX(sommets8,A152,3)*LONG8</f>
        <v>134.86270572698066</v>
      </c>
    </row>
  </sheetData>
  <mergeCells count="3">
    <mergeCell ref="F1:L1"/>
    <mergeCell ref="A4:C4"/>
    <mergeCell ref="A6:C6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Pauchard Francis</dc:creator>
  <cp:keywords/>
  <dc:description/>
  <cp:lastModifiedBy>pauchafs</cp:lastModifiedBy>
  <cp:lastPrinted>2003-02-11T12:43:01Z</cp:lastPrinted>
  <dcterms:created xsi:type="dcterms:W3CDTF">2003-01-30T21:37:51Z</dcterms:created>
  <dcterms:modified xsi:type="dcterms:W3CDTF">2010-04-07T08:09:28Z</dcterms:modified>
  <cp:category/>
  <cp:version/>
  <cp:contentType/>
  <cp:contentStatus/>
</cp:coreProperties>
</file>